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Sheet4" sheetId="1" r:id="rId1"/>
    <sheet name="Sheet1" sheetId="2" r:id="rId2"/>
    <sheet name="Sheet3" sheetId="3" r:id="rId3"/>
    <sheet name="DV-IDENTITY-0" sheetId="4" state="very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<sst xmlns="http://schemas.openxmlformats.org/spreadsheetml/2006/main" count="56" uniqueCount="33">
  <si>
    <t>Name</t>
  </si>
  <si>
    <t>Admit Date</t>
  </si>
  <si>
    <t>Delivery Date</t>
  </si>
  <si>
    <t>Cervical Ripening</t>
  </si>
  <si>
    <t>Gestational Age</t>
  </si>
  <si>
    <t>SVD</t>
  </si>
  <si>
    <t>Operative Vaginal</t>
  </si>
  <si>
    <t>Cesarean Section</t>
  </si>
  <si>
    <t>Indication for C/S</t>
  </si>
  <si>
    <t>Comments</t>
  </si>
  <si>
    <t>Discharge Date</t>
  </si>
  <si>
    <t>Length of Stay</t>
  </si>
  <si>
    <t>D/C Home Undelivered</t>
  </si>
  <si>
    <t>Delivery MD</t>
  </si>
  <si>
    <t>Labor RN</t>
  </si>
  <si>
    <t>Admit Time</t>
  </si>
  <si>
    <t>Delivery Time</t>
  </si>
  <si>
    <t>Medical Record #</t>
  </si>
  <si>
    <t>Discharge Time</t>
  </si>
  <si>
    <t>Indication for Induction</t>
  </si>
  <si>
    <t>ROM Method</t>
  </si>
  <si>
    <t>Parity</t>
  </si>
  <si>
    <t xml:space="preserve">Pitocin </t>
  </si>
  <si>
    <t>Twins</t>
  </si>
  <si>
    <t>Delivered in the field</t>
  </si>
  <si>
    <t>IUFD &lt; 20 weeks</t>
  </si>
  <si>
    <t>IUFD &gt; 20 weeks or neonatal death &lt; 24 weeks</t>
  </si>
  <si>
    <t>Scheduled</t>
  </si>
  <si>
    <t>VBAC</t>
  </si>
  <si>
    <t>Age</t>
  </si>
  <si>
    <t>BMI</t>
  </si>
  <si>
    <t>Month</t>
  </si>
  <si>
    <t>AAAAAD//Z20=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</si>
</sst>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h:mm:ss\ AM/PM"/>
    <numFmt numFmtId="166" formatCode="[$-409]h:mm\ AM/PM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8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18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1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center"/>
    </xf>
    <xf numFmtId="18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/>
    </xf>
    <xf numFmtId="18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105" sheet="Sheet1"/>
  </cacheSource>
  <cacheFields count="24">
    <cacheField name="Mar-11">
      <sharedItems containsSemiMixedTypes="0" containsString="0" containsMixedTypes="0" containsNumber="1" containsInteger="1"/>
    </cacheField>
    <cacheField name="Name">
      <sharedItems containsBlank="1" containsMixedTypes="0" count="85">
        <s v="Whitfield, Whitney"/>
        <s v="McCoy, Adrian"/>
        <s v="Tate, Heather"/>
        <s v="Watson, Candace"/>
        <s v="Tadlock, Allison"/>
        <s v="Marinelli, Anna Marie"/>
        <s v="Cash, Sierra"/>
        <s v="Krak, Brandy"/>
        <s v="Deangelis, Annemarie"/>
        <s v="Rice, Andrea"/>
        <s v="Maysonet, Hana"/>
        <s v="Bumgarner, Lara"/>
        <s v="Yang, Cindy"/>
        <s v="Durham, Michelle"/>
        <s v="Bryant, Hayley"/>
        <s v="Rodriguez, Luz"/>
        <s v="Dixon, Tywanda"/>
        <s v="Jindal, Prerna"/>
        <s v="Khan, Fatima"/>
        <s v="Cheek, Casey"/>
        <s v="Quinn, Shontavia"/>
        <s v="Pinto, Melissa"/>
        <s v="Banks, Sarah"/>
        <s v="Pepitone, Jacqueline"/>
        <s v="Potter, Susan"/>
        <s v="Donaldson-Roach, Kirsty"/>
        <s v="Bourque, Naomi"/>
        <s v="Barrios, Angela"/>
        <s v="Espinosa, Diana"/>
        <s v="Day, Lindsay"/>
        <s v="Simms, April"/>
        <s v="Szostek, Virginia"/>
        <s v="Hance, Jennifer"/>
        <s v="Ferson, Tiffany"/>
        <s v="Sussman, Jennifer"/>
        <s v="Ouellet, Ashley"/>
        <s v="Otto, Lisa"/>
        <s v="Holtman, Kelly"/>
        <s v="Adams, Brittany"/>
        <s v="Campbell, Latoya"/>
        <s v="Isabell, Tasha"/>
        <s v="O'Haggan, Stephanie"/>
        <s v="Allen, Mary"/>
        <s v="Plummer, Jordan"/>
        <s v="Nguyen, Hang"/>
        <s v="Patton, Jaimee"/>
        <s v="Macdonald, Adria"/>
        <s v="Clark, Tiswana"/>
        <s v="Ranaletta, Shannon"/>
        <s v="Holmes, Stacey"/>
        <s v="Hulon, Dianna"/>
        <s v="Cunningham, Rachel"/>
        <s v="Eddleman, Holli"/>
        <s v="Robinson, Tracy"/>
        <s v="Nelson, Chafreda"/>
        <s v="Schusler, Rebecca"/>
        <s v="Parker, Stephanie"/>
        <s v="Weikle, Tara"/>
        <s v="Mattingly, Stephanie"/>
        <s v="Frias, Amanda"/>
        <s v="Beyerle, Lauren"/>
        <s v="Barnett, Gabrellie"/>
        <s v="Roberts, Melissa"/>
        <s v="Saine, Kristy"/>
        <s v="Golden, Jasmine"/>
        <s v="Graham, Nia"/>
        <s v="Wayne, Jennifer"/>
        <s v="Smart, Stefanie"/>
        <s v="Fuller, Amy"/>
        <s v="Walsh, Sarah"/>
        <s v="Urena, Monica"/>
        <s v="Stevens, Alvera"/>
        <s v="Bajek, Stacy"/>
        <s v="Mulligan, Fiona"/>
        <s v="Hall, Erin"/>
        <s v="Allen, Alisia"/>
        <s v="Kay, Rebecca"/>
        <s v="Abuelhawa, Malak"/>
        <s v="Skotcher, Jennifer"/>
        <s v="Demonico, Pauline"/>
        <s v="Sounderrajan, Shalini"/>
        <s v="Shea, Dania"/>
        <s v="Reyes-Garcia, Rosario"/>
        <s v="Morrell, Tracy"/>
        <m/>
      </sharedItems>
    </cacheField>
    <cacheField name="Medical Record #">
      <sharedItems containsMixedTypes="1" containsNumber="1" containsInteger="1"/>
    </cacheField>
    <cacheField name="Parity">
      <sharedItems containsString="0" containsBlank="1" containsMixedTypes="0" containsNumber="1" containsInteger="1" count="7">
        <n v="1"/>
        <n v="2"/>
        <n v="3"/>
        <n v="6"/>
        <n v="5"/>
        <n v="4"/>
        <m/>
      </sharedItems>
    </cacheField>
    <cacheField name="Admit Date">
      <sharedItems containsDate="1" containsString="0" containsBlank="1" containsMixedTypes="0" count="29">
        <d v="2011-04-01T00:00:00.000"/>
        <d v="2011-04-02T00:00:00.000"/>
        <d v="2011-04-04T00:00:00.000"/>
        <d v="2011-04-03T00:00:00.000"/>
        <d v="2011-04-05T00:00:00.000"/>
        <d v="1900-01-04T12:00:00.000"/>
        <d v="2011-04-06T00:00:00.000"/>
        <d v="2011-04-07T00:00:00.000"/>
        <d v="2011-04-08T00:00:00.000"/>
        <d v="2011-04-09T00:00:00.000"/>
        <d v="2011-04-10T00:00:00.000"/>
        <d v="2011-04-11T00:00:00.000"/>
        <d v="2011-04-12T00:00:00.000"/>
        <d v="2011-04-14T00:00:00.000"/>
        <d v="2011-04-15T00:00:00.000"/>
        <d v="2011-04-16T00:00:00.000"/>
        <d v="2011-04-17T00:00:00.000"/>
        <d v="2011-04-18T00:00:00.000"/>
        <d v="2011-04-19T00:00:00.000"/>
        <d v="2011-04-20T00:00:00.000"/>
        <d v="2011-04-21T00:00:00.000"/>
        <d v="2011-04-22T00:00:00.000"/>
        <d v="2011-04-24T00:00:00.000"/>
        <d v="2011-04-25T00:00:00.000"/>
        <d v="2011-04-26T00:00:00.000"/>
        <d v="2011-04-27T00:00:00.000"/>
        <d v="2011-04-28T00:00:00.000"/>
        <d v="2011-04-29T00:00:00.000"/>
        <m/>
      </sharedItems>
    </cacheField>
    <cacheField name="Admit Time">
      <sharedItems containsDate="1" containsMixedTypes="1"/>
    </cacheField>
    <cacheField name="Delivery Date">
      <sharedItems containsDate="1" containsString="0" containsBlank="1" containsMixedTypes="0" count="28">
        <d v="2011-04-01T00:00:00.000"/>
        <d v="2011-04-02T00:00:00.000"/>
        <d v="2011-04-04T00:00:00.000"/>
        <d v="2011-04-05T00:00:00.000"/>
        <d v="2011-04-06T00:00:00.000"/>
        <d v="2011-04-07T00:00:00.000"/>
        <d v="2011-04-08T00:00:00.000"/>
        <d v="2011-04-09T00:00:00.000"/>
        <d v="2011-04-10T00:00:00.000"/>
        <d v="2011-04-11T00:00:00.000"/>
        <d v="2011-04-12T00:00:00.000"/>
        <d v="2011-04-13T00:00:00.000"/>
        <d v="2011-04-14T00:00:00.000"/>
        <d v="2011-04-15T00:00:00.000"/>
        <d v="2011-04-16T00:00:00.000"/>
        <d v="2011-04-17T00:00:00.000"/>
        <d v="2011-04-18T00:00:00.000"/>
        <d v="2011-04-19T00:00:00.000"/>
        <d v="2011-04-20T00:00:00.000"/>
        <d v="2011-04-21T00:00:00.000"/>
        <d v="2011-04-22T00:00:00.000"/>
        <d v="2011-04-24T00:00:00.000"/>
        <d v="2011-04-25T00:00:00.000"/>
        <d v="2011-04-26T00:00:00.000"/>
        <d v="2011-04-27T00:00:00.000"/>
        <d v="2011-04-28T00:00:00.000"/>
        <d v="2011-04-29T00:00:00.000"/>
        <m/>
      </sharedItems>
    </cacheField>
    <cacheField name="Delivery Time">
      <sharedItems containsDate="1" containsMixedTypes="1"/>
    </cacheField>
    <cacheField name="Discharge Date">
      <sharedItems containsDate="1" containsString="0" containsBlank="1" containsMixedTypes="0" count="30">
        <d v="2011-04-04T00:00:00.000"/>
        <d v="2011-04-03T00:00:00.000"/>
        <d v="2011-04-07T00:00:00.000"/>
        <d v="2011-04-06T00:00:00.000"/>
        <d v="2011-04-08T00:00:00.000"/>
        <d v="2011-04-09T00:00:00.000"/>
        <d v="2011-04-10T00:00:00.000"/>
        <d v="2011-04-11T00:00:00.000"/>
        <d v="2011-04-14T00:00:00.000"/>
        <d v="2011-04-12T00:00:00.000"/>
        <d v="2011-04-13T00:00:00.000"/>
        <d v="2011-04-16T00:00:00.000"/>
        <d v="2011-04-18T00:00:00.000"/>
        <d v="2011-04-17T00:00:00.000"/>
        <d v="2011-04-15T00:00:00.000"/>
        <d v="2011-04-19T00:00:00.000"/>
        <d v="2011-04-20T00:00:00.000"/>
        <d v="2011-04-21T00:00:00.000"/>
        <d v="2011-04-22T00:00:00.000"/>
        <d v="2011-04-23T00:00:00.000"/>
        <d v="2011-04-24T00:00:00.000"/>
        <d v="2011-04-25T00:00:00.000"/>
        <d v="2011-04-27T00:00:00.000"/>
        <d v="2011-04-28T00:00:00.000"/>
        <d v="2011-04-26T00:00:00.000"/>
        <d v="2011-04-30T00:00:00.000"/>
        <d v="2011-04-29T00:00:00.000"/>
        <d v="2011-05-01T00:00:00.000"/>
        <d v="2011-05-02T00:00:00.000"/>
        <m/>
      </sharedItems>
    </cacheField>
    <cacheField name="Discharge Time">
      <sharedItems containsDate="1" containsMixedTypes="1"/>
    </cacheField>
    <cacheField name="Gestational Age">
      <sharedItems containsString="0" containsBlank="1" containsMixedTypes="0" containsNumber="1" count="34">
        <n v="39"/>
        <n v="39.2"/>
        <n v="39.1"/>
        <n v="37.6"/>
        <n v="39.6"/>
        <n v="40.5"/>
        <n v="39.3"/>
        <n v="38"/>
        <n v="38.1"/>
        <n v="34"/>
        <n v="33.4"/>
        <n v="41"/>
        <n v="24.3"/>
        <n v="39.5"/>
        <n v="39.4"/>
        <n v="40.2"/>
        <n v="40.1"/>
        <n v="40.4"/>
        <n v="38.3"/>
        <n v="38.5"/>
        <n v="41.2"/>
        <n v="37.1"/>
        <n v="37"/>
        <n v="41.1"/>
        <n v="36.3"/>
        <n v="34.2"/>
        <n v="40"/>
        <n v="40.6"/>
        <n v="38.6"/>
        <n v="37.4"/>
        <n v="37.3"/>
        <n v="36.6"/>
        <n v="38.4"/>
        <m/>
      </sharedItems>
    </cacheField>
    <cacheField name="Labor RN">
      <sharedItems containsBlank="1" containsMixedTypes="0" count="28">
        <s v="E. Frager"/>
        <s v="L. Nakhle"/>
        <s v="K. Bush"/>
        <s v="N. Hager"/>
        <s v="M. Saunders"/>
        <s v="C. Kanaley"/>
        <s v="L. Hill"/>
        <s v="L. McCormick"/>
        <s v="L. Shumaker"/>
        <s v="E. Reilly"/>
        <s v="A. Long"/>
        <s v="K. Runge"/>
        <s v="P. Pankz"/>
        <s v="A. Dailey"/>
        <s v="J. Ayres"/>
        <s v="A. Reiner"/>
        <s v="M. Marc"/>
        <s v="H. Yousef"/>
        <s v="D. Osborne"/>
        <s v="T. Young"/>
        <s v="C. Mayernik"/>
        <s v="T. Dmytruk"/>
        <s v="T. Price"/>
        <s v="C. Chiluck"/>
        <s v="M. Anderson"/>
        <s v="D. Plummer"/>
        <s v="M. Hunter"/>
        <m/>
      </sharedItems>
    </cacheField>
    <cacheField name="Delivery MD">
      <sharedItems containsBlank="1" containsMixedTypes="0" count="11">
        <s v="Gorsuch"/>
        <s v="Miles"/>
        <s v="Yakubu"/>
        <s v="Bull"/>
        <s v="Anyaogu"/>
        <s v="Clark"/>
        <s v="Vuong"/>
        <s v="Little"/>
        <s v="Fishburne"/>
        <s v="Sharawy"/>
        <m/>
      </sharedItems>
    </cacheField>
    <cacheField name="Length of Stay">
      <sharedItems containsMixedTypes="1" containsNumber="1"/>
    </cacheField>
    <cacheField name="Cervical Ripening">
      <sharedItems containsBlank="1" containsMixedTypes="0" count="2">
        <m/>
        <s v="Cervidil"/>
      </sharedItems>
    </cacheField>
    <cacheField name="Pitocin ">
      <sharedItems containsBlank="1" containsMixedTypes="0" count="3">
        <m/>
        <s v="Augment"/>
        <s v="Induction"/>
      </sharedItems>
    </cacheField>
    <cacheField name="ROM Method">
      <sharedItems containsBlank="1" containsMixedTypes="0" count="4">
        <s v="AROM"/>
        <s v="SROM"/>
        <s v="PROM"/>
        <m/>
      </sharedItems>
    </cacheField>
    <cacheField name="Indication for Induction">
      <sharedItems containsBlank="1" containsMixedTypes="0" count="11">
        <m/>
        <s v="PIH"/>
        <s v="Macrosomia"/>
        <s v="Elective"/>
        <s v="Oligohydramnios"/>
        <s v="Non-reassuring NST"/>
        <s v="History of PE"/>
        <s v="Postdates"/>
        <s v="Pre-eclampsia"/>
        <s v="GDM/PIH"/>
        <s v="AMA"/>
      </sharedItems>
    </cacheField>
    <cacheField name="SVD">
      <sharedItems containsBlank="1" containsMixedTypes="0" count="2">
        <m/>
        <s v="√"/>
      </sharedItems>
    </cacheField>
    <cacheField name="Operative Vaginal">
      <sharedItems containsBlank="1" containsMixedTypes="0" count="3">
        <m/>
        <s v="VE"/>
        <s v="Forcep"/>
      </sharedItems>
    </cacheField>
    <cacheField name="Cesarean Section">
      <sharedItems containsBlank="1" containsMixedTypes="0" count="2">
        <s v="√"/>
        <m/>
      </sharedItems>
    </cacheField>
    <cacheField name="Indication for C/S">
      <sharedItems containsBlank="1" containsMixedTypes="0" count="15">
        <s v="Elective"/>
        <m/>
        <s v="NRFHRT"/>
        <s v="Twins"/>
        <s v="Unfavorable Cervix"/>
        <s v="Previous C/S"/>
        <s v="Breech"/>
        <s v="Arrest of descent"/>
        <s v="Frank Breech"/>
        <s v="Previous c/s x3"/>
        <s v="Previous c/s x2"/>
        <s v="FTP"/>
        <s v="Failed VE"/>
        <s v="HELLP"/>
        <s v="Failed IOL"/>
      </sharedItems>
    </cacheField>
    <cacheField name="D/C Home Undelivered">
      <sharedItems containsString="0" containsBlank="1" count="1">
        <m/>
      </sharedItems>
    </cacheField>
    <cacheField name="Comment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2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5.00390625" style="0" bestFit="1" customWidth="1"/>
    <col min="3" max="3" width="7.00390625" style="0" bestFit="1" customWidth="1"/>
    <col min="4" max="5" width="10.57421875" style="0" bestFit="1" customWidth="1"/>
    <col min="6" max="6" width="6.7109375" style="0" bestFit="1" customWidth="1"/>
    <col min="7" max="7" width="11.140625" style="0" bestFit="1" customWidth="1"/>
    <col min="8" max="8" width="10.57421875" style="0" bestFit="1" customWidth="1"/>
    <col min="9" max="9" width="13.140625" style="0" bestFit="1" customWidth="1"/>
    <col min="10" max="10" width="19.7109375" style="0" bestFit="1" customWidth="1"/>
    <col min="11" max="11" width="8.421875" style="0" customWidth="1"/>
    <col min="12" max="12" width="13.140625" style="0" bestFit="1" customWidth="1"/>
    <col min="13" max="13" width="8.57421875" style="0" customWidth="1"/>
    <col min="14" max="14" width="9.421875" style="0" bestFit="1" customWidth="1"/>
    <col min="15" max="15" width="13.140625" style="0" bestFit="1" customWidth="1"/>
    <col min="16" max="16" width="14.140625" style="0" bestFit="1" customWidth="1"/>
    <col min="17" max="17" width="12.8515625" style="0" bestFit="1" customWidth="1"/>
    <col min="18" max="18" width="13.140625" style="0" bestFit="1" customWidth="1"/>
    <col min="19" max="19" width="17.7109375" style="0" bestFit="1" customWidth="1"/>
    <col min="20" max="20" width="10.57421875" style="0" bestFit="1" customWidth="1"/>
  </cols>
  <sheetData>
    <row r="3" spans="1:7" ht="12.75">
      <c r="A3" s="18"/>
      <c r="B3" s="18"/>
      <c r="C3" s="19"/>
      <c r="D3" s="19"/>
      <c r="E3" s="19"/>
      <c r="F3" s="19"/>
      <c r="G3" s="20"/>
    </row>
    <row r="4" spans="1:7" ht="12.75">
      <c r="A4" s="18"/>
      <c r="B4" s="18"/>
      <c r="C4" s="19"/>
      <c r="D4" s="19"/>
      <c r="E4" s="19"/>
      <c r="F4" s="19"/>
      <c r="G4" s="20"/>
    </row>
    <row r="5" spans="1:7" ht="12.75">
      <c r="A5" s="21"/>
      <c r="B5" s="21"/>
      <c r="C5" s="22"/>
      <c r="D5" s="22"/>
      <c r="E5" s="22"/>
      <c r="F5" s="22"/>
      <c r="G5" s="23"/>
    </row>
    <row r="6" spans="1:7" ht="12.75">
      <c r="A6" s="21"/>
      <c r="B6" s="21"/>
      <c r="C6" s="22"/>
      <c r="D6" s="22"/>
      <c r="E6" s="22"/>
      <c r="F6" s="22"/>
      <c r="G6" s="23"/>
    </row>
    <row r="7" spans="1:7" ht="12.75">
      <c r="A7" s="21"/>
      <c r="B7" s="21"/>
      <c r="C7" s="22"/>
      <c r="D7" s="22"/>
      <c r="E7" s="22"/>
      <c r="F7" s="22"/>
      <c r="G7" s="23"/>
    </row>
    <row r="8" spans="1:7" ht="12.75">
      <c r="A8" s="21"/>
      <c r="B8" s="21"/>
      <c r="C8" s="22"/>
      <c r="D8" s="22"/>
      <c r="E8" s="22"/>
      <c r="F8" s="22"/>
      <c r="G8" s="23"/>
    </row>
    <row r="9" spans="1:7" ht="12.75">
      <c r="A9" s="21"/>
      <c r="B9" s="21"/>
      <c r="C9" s="22"/>
      <c r="D9" s="22"/>
      <c r="E9" s="22"/>
      <c r="F9" s="22"/>
      <c r="G9" s="23"/>
    </row>
    <row r="10" spans="1:7" ht="12.75">
      <c r="A10" s="21"/>
      <c r="B10" s="21"/>
      <c r="C10" s="22"/>
      <c r="D10" s="22"/>
      <c r="E10" s="22"/>
      <c r="F10" s="22"/>
      <c r="G10" s="23"/>
    </row>
    <row r="11" spans="1:7" ht="12.75">
      <c r="A11" s="21"/>
      <c r="B11" s="21"/>
      <c r="C11" s="22"/>
      <c r="D11" s="22"/>
      <c r="E11" s="22"/>
      <c r="F11" s="22"/>
      <c r="G11" s="23"/>
    </row>
    <row r="12" spans="1:7" ht="12.75">
      <c r="A12" s="21"/>
      <c r="B12" s="21"/>
      <c r="C12" s="22"/>
      <c r="D12" s="22"/>
      <c r="E12" s="22"/>
      <c r="F12" s="22"/>
      <c r="G12" s="23"/>
    </row>
    <row r="13" spans="1:7" ht="12.75">
      <c r="A13" s="21"/>
      <c r="B13" s="21"/>
      <c r="C13" s="22"/>
      <c r="D13" s="22"/>
      <c r="E13" s="22"/>
      <c r="F13" s="22"/>
      <c r="G13" s="23"/>
    </row>
    <row r="14" spans="1:7" ht="12.75">
      <c r="A14" s="21"/>
      <c r="B14" s="21"/>
      <c r="C14" s="22"/>
      <c r="D14" s="22"/>
      <c r="E14" s="22"/>
      <c r="F14" s="22"/>
      <c r="G14" s="23"/>
    </row>
    <row r="15" spans="1:7" ht="12.75">
      <c r="A15" s="21"/>
      <c r="B15" s="21"/>
      <c r="C15" s="22"/>
      <c r="D15" s="22"/>
      <c r="E15" s="22"/>
      <c r="F15" s="22"/>
      <c r="G15" s="23"/>
    </row>
    <row r="16" spans="1:7" ht="12.75">
      <c r="A16" s="24"/>
      <c r="B16" s="24"/>
      <c r="C16" s="25"/>
      <c r="D16" s="25"/>
      <c r="E16" s="25"/>
      <c r="F16" s="25"/>
      <c r="G16" s="26"/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14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10.00390625" style="4" customWidth="1"/>
    <col min="2" max="2" width="28.57421875" style="4" bestFit="1" customWidth="1"/>
    <col min="3" max="3" width="7.140625" style="4" customWidth="1"/>
    <col min="4" max="4" width="7.8515625" style="4" customWidth="1"/>
    <col min="5" max="5" width="19.7109375" style="4" customWidth="1"/>
    <col min="6" max="6" width="7.8515625" style="4" customWidth="1"/>
    <col min="7" max="7" width="9.8515625" style="4" customWidth="1"/>
    <col min="8" max="8" width="10.8515625" style="4" customWidth="1"/>
    <col min="9" max="9" width="10.00390625" style="4" customWidth="1"/>
    <col min="10" max="10" width="11.28125" style="4" customWidth="1"/>
    <col min="11" max="12" width="12.140625" style="4" customWidth="1"/>
    <col min="13" max="13" width="13.28125" style="4" customWidth="1"/>
    <col min="14" max="14" width="15.8515625" style="4" customWidth="1"/>
    <col min="15" max="15" width="11.7109375" style="4" customWidth="1"/>
    <col min="16" max="16" width="11.421875" style="4" customWidth="1"/>
    <col min="17" max="17" width="25.140625" style="4" bestFit="1" customWidth="1"/>
    <col min="18" max="18" width="15.00390625" style="4" customWidth="1"/>
    <col min="19" max="19" width="12.00390625" style="4" customWidth="1"/>
    <col min="20" max="20" width="15.8515625" style="4" bestFit="1" customWidth="1"/>
    <col min="21" max="21" width="29.00390625" style="4" bestFit="1" customWidth="1"/>
    <col min="22" max="22" width="9.140625" style="4" customWidth="1"/>
    <col min="23" max="24" width="12.7109375" style="4" customWidth="1"/>
    <col min="25" max="25" width="30.57421875" style="4" bestFit="1" customWidth="1"/>
    <col min="26" max="26" width="14.57421875" style="4" customWidth="1"/>
    <col min="27" max="27" width="63.00390625" style="4" customWidth="1"/>
    <col min="28" max="16384" width="9.140625" style="4" customWidth="1"/>
  </cols>
  <sheetData>
    <row r="1" spans="1:27" ht="31.5">
      <c r="A1" s="1" t="s">
        <v>31</v>
      </c>
      <c r="B1" s="2" t="s">
        <v>0</v>
      </c>
      <c r="C1" s="2" t="s">
        <v>29</v>
      </c>
      <c r="D1" s="2" t="s">
        <v>30</v>
      </c>
      <c r="E1" s="2" t="s">
        <v>17</v>
      </c>
      <c r="F1" s="2" t="s">
        <v>21</v>
      </c>
      <c r="G1" s="3" t="s">
        <v>1</v>
      </c>
      <c r="H1" s="3" t="s">
        <v>15</v>
      </c>
      <c r="I1" s="3" t="s">
        <v>2</v>
      </c>
      <c r="J1" s="3" t="s">
        <v>16</v>
      </c>
      <c r="K1" s="3" t="s">
        <v>10</v>
      </c>
      <c r="L1" s="3" t="s">
        <v>18</v>
      </c>
      <c r="M1" s="3" t="s">
        <v>4</v>
      </c>
      <c r="N1" s="3" t="s">
        <v>14</v>
      </c>
      <c r="O1" s="3" t="s">
        <v>13</v>
      </c>
      <c r="P1" s="3" t="s">
        <v>11</v>
      </c>
      <c r="Q1" s="3" t="s">
        <v>3</v>
      </c>
      <c r="R1" s="3" t="s">
        <v>22</v>
      </c>
      <c r="S1" s="3" t="s">
        <v>20</v>
      </c>
      <c r="T1" s="3" t="s">
        <v>27</v>
      </c>
      <c r="U1" s="3" t="s">
        <v>19</v>
      </c>
      <c r="V1" s="3" t="s">
        <v>5</v>
      </c>
      <c r="W1" s="3" t="s">
        <v>6</v>
      </c>
      <c r="X1" s="3" t="s">
        <v>7</v>
      </c>
      <c r="Y1" s="3" t="s">
        <v>8</v>
      </c>
      <c r="Z1" s="3" t="s">
        <v>12</v>
      </c>
      <c r="AA1" s="3" t="s">
        <v>9</v>
      </c>
    </row>
    <row r="2" spans="1:27" ht="15">
      <c r="A2" s="4">
        <v>1</v>
      </c>
      <c r="B2" s="17"/>
      <c r="C2" s="17"/>
      <c r="D2" s="17"/>
      <c r="E2" s="17"/>
      <c r="F2" s="27"/>
      <c r="G2" s="39"/>
      <c r="H2" s="40"/>
      <c r="I2" s="39"/>
      <c r="J2" s="40"/>
      <c r="K2" s="39"/>
      <c r="L2" s="40"/>
      <c r="M2" s="45"/>
      <c r="N2" s="39"/>
      <c r="O2" s="39"/>
      <c r="P2" s="45"/>
      <c r="Q2" s="28"/>
      <c r="R2" s="28"/>
      <c r="S2" s="28"/>
      <c r="T2" s="28"/>
      <c r="U2" s="28"/>
      <c r="V2" s="28"/>
      <c r="W2" s="28"/>
      <c r="X2" s="28"/>
      <c r="Y2" s="28"/>
      <c r="Z2" s="28"/>
      <c r="AA2" s="37"/>
    </row>
    <row r="3" spans="1:27" ht="15">
      <c r="A3" s="4">
        <v>2</v>
      </c>
      <c r="B3" s="17"/>
      <c r="C3" s="17"/>
      <c r="D3" s="17"/>
      <c r="E3" s="17"/>
      <c r="F3" s="27"/>
      <c r="G3" s="39"/>
      <c r="H3" s="40"/>
      <c r="I3" s="39"/>
      <c r="J3" s="40"/>
      <c r="K3" s="39"/>
      <c r="L3" s="40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37"/>
    </row>
    <row r="4" spans="1:27" ht="15">
      <c r="A4" s="4">
        <v>3</v>
      </c>
      <c r="B4" s="37"/>
      <c r="C4" s="37"/>
      <c r="D4" s="37"/>
      <c r="E4" s="38"/>
      <c r="F4" s="28"/>
      <c r="G4" s="39"/>
      <c r="H4" s="40"/>
      <c r="I4" s="39"/>
      <c r="J4" s="40"/>
      <c r="K4" s="39"/>
      <c r="L4" s="4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8"/>
    </row>
    <row r="5" spans="1:27" ht="15">
      <c r="A5" s="4">
        <v>4</v>
      </c>
      <c r="B5" s="17"/>
      <c r="C5" s="17"/>
      <c r="D5" s="17"/>
      <c r="E5" s="17"/>
      <c r="F5" s="27"/>
      <c r="G5" s="39"/>
      <c r="H5" s="40"/>
      <c r="I5" s="39"/>
      <c r="J5" s="40"/>
      <c r="K5" s="39"/>
      <c r="L5" s="4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7"/>
    </row>
    <row r="6" spans="1:27" ht="15">
      <c r="A6" s="4">
        <v>5</v>
      </c>
      <c r="B6" s="17"/>
      <c r="C6" s="17"/>
      <c r="D6" s="17"/>
      <c r="E6" s="17"/>
      <c r="F6" s="27"/>
      <c r="G6" s="39"/>
      <c r="H6" s="40"/>
      <c r="I6" s="39"/>
      <c r="J6" s="40"/>
      <c r="K6" s="39"/>
      <c r="L6" s="40"/>
      <c r="M6" s="28"/>
      <c r="N6" s="28"/>
      <c r="O6" s="28"/>
      <c r="P6" s="28"/>
      <c r="Q6" s="28"/>
      <c r="R6" s="28"/>
      <c r="S6" s="28"/>
      <c r="T6" s="28"/>
      <c r="U6" s="28"/>
      <c r="V6" s="43"/>
      <c r="W6" s="43"/>
      <c r="X6" s="43"/>
      <c r="Y6" s="43"/>
      <c r="Z6" s="43"/>
      <c r="AA6" s="43"/>
    </row>
    <row r="7" spans="1:27" ht="15">
      <c r="A7" s="4">
        <v>6</v>
      </c>
      <c r="B7" s="17"/>
      <c r="C7" s="17"/>
      <c r="D7" s="17"/>
      <c r="E7" s="17"/>
      <c r="F7" s="27"/>
      <c r="G7" s="39"/>
      <c r="H7" s="40"/>
      <c r="I7" s="39"/>
      <c r="J7" s="40"/>
      <c r="K7" s="39"/>
      <c r="L7" s="40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7"/>
    </row>
    <row r="8" spans="1:27" ht="15">
      <c r="A8" s="4">
        <v>7</v>
      </c>
      <c r="B8" s="17"/>
      <c r="C8" s="17"/>
      <c r="D8" s="17"/>
      <c r="E8" s="17"/>
      <c r="F8" s="27"/>
      <c r="G8" s="39"/>
      <c r="H8" s="40"/>
      <c r="I8" s="39"/>
      <c r="J8" s="40"/>
      <c r="K8" s="39"/>
      <c r="L8" s="40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7"/>
    </row>
    <row r="9" spans="1:27" ht="15">
      <c r="A9" s="4">
        <v>8</v>
      </c>
      <c r="B9" s="17"/>
      <c r="C9" s="17"/>
      <c r="D9" s="17"/>
      <c r="E9" s="17"/>
      <c r="F9" s="27"/>
      <c r="G9" s="39"/>
      <c r="H9" s="40"/>
      <c r="I9" s="39"/>
      <c r="J9" s="40"/>
      <c r="K9" s="39"/>
      <c r="L9" s="40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7"/>
    </row>
    <row r="10" spans="1:27" ht="15">
      <c r="A10" s="4">
        <v>9</v>
      </c>
      <c r="B10" s="17"/>
      <c r="C10" s="17"/>
      <c r="D10" s="17"/>
      <c r="E10" s="17"/>
      <c r="F10" s="27"/>
      <c r="G10" s="39"/>
      <c r="H10" s="40"/>
      <c r="I10" s="39"/>
      <c r="J10" s="40"/>
      <c r="K10" s="39"/>
      <c r="L10" s="4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7"/>
    </row>
    <row r="11" spans="1:27" ht="15">
      <c r="A11" s="4">
        <v>10</v>
      </c>
      <c r="B11" s="17"/>
      <c r="C11" s="17"/>
      <c r="D11" s="17"/>
      <c r="E11" s="17"/>
      <c r="F11" s="27"/>
      <c r="G11" s="39"/>
      <c r="H11" s="40"/>
      <c r="I11" s="39"/>
      <c r="J11" s="40"/>
      <c r="K11" s="39"/>
      <c r="L11" s="4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7"/>
    </row>
    <row r="12" spans="1:27" ht="15">
      <c r="A12" s="43">
        <v>11</v>
      </c>
      <c r="B12" s="17"/>
      <c r="C12" s="17"/>
      <c r="D12" s="17"/>
      <c r="E12" s="17"/>
      <c r="F12" s="27"/>
      <c r="G12" s="46"/>
      <c r="H12" s="47"/>
      <c r="I12" s="39"/>
      <c r="J12" s="47"/>
      <c r="K12" s="39"/>
      <c r="L12" s="4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8"/>
    </row>
    <row r="13" spans="1:27" ht="15">
      <c r="A13" s="4">
        <v>12</v>
      </c>
      <c r="B13" s="17"/>
      <c r="C13" s="17"/>
      <c r="D13" s="17"/>
      <c r="E13" s="17"/>
      <c r="F13" s="27"/>
      <c r="G13" s="39"/>
      <c r="H13" s="40"/>
      <c r="I13" s="39"/>
      <c r="J13" s="40"/>
      <c r="K13" s="39"/>
      <c r="L13" s="4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7"/>
    </row>
    <row r="14" spans="1:27" ht="15">
      <c r="A14" s="4">
        <v>13</v>
      </c>
      <c r="B14" s="17"/>
      <c r="C14" s="17"/>
      <c r="D14" s="17"/>
      <c r="E14" s="17"/>
      <c r="F14" s="27"/>
      <c r="G14" s="39"/>
      <c r="H14" s="40"/>
      <c r="I14" s="39"/>
      <c r="J14" s="40"/>
      <c r="K14" s="39"/>
      <c r="L14" s="4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7"/>
    </row>
    <row r="15" spans="1:28" ht="15">
      <c r="A15" s="4">
        <v>14</v>
      </c>
      <c r="B15" s="17"/>
      <c r="C15" s="17"/>
      <c r="D15" s="17"/>
      <c r="E15" s="17"/>
      <c r="F15" s="27"/>
      <c r="G15" s="30"/>
      <c r="H15" s="31"/>
      <c r="I15" s="30"/>
      <c r="J15" s="31"/>
      <c r="K15" s="30"/>
      <c r="L15" s="31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27"/>
      <c r="X15" s="27"/>
      <c r="Y15" s="27"/>
      <c r="Z15" s="27"/>
      <c r="AA15" s="32"/>
      <c r="AB15" s="15"/>
    </row>
    <row r="16" spans="1:27" ht="15">
      <c r="A16" s="4">
        <v>15</v>
      </c>
      <c r="B16" s="17"/>
      <c r="C16" s="17"/>
      <c r="D16" s="17"/>
      <c r="E16" s="17"/>
      <c r="F16" s="27"/>
      <c r="G16" s="39"/>
      <c r="H16" s="40"/>
      <c r="I16" s="39"/>
      <c r="J16" s="40"/>
      <c r="K16" s="39"/>
      <c r="L16" s="4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7"/>
    </row>
    <row r="17" spans="1:27" ht="15">
      <c r="A17" s="4">
        <v>16</v>
      </c>
      <c r="B17" s="17"/>
      <c r="C17" s="17"/>
      <c r="D17" s="17"/>
      <c r="E17" s="17"/>
      <c r="F17" s="27"/>
      <c r="G17" s="39"/>
      <c r="H17" s="40"/>
      <c r="I17" s="39"/>
      <c r="J17" s="40"/>
      <c r="K17" s="39"/>
      <c r="L17" s="4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7"/>
    </row>
    <row r="18" spans="1:27" ht="15">
      <c r="A18" s="4">
        <v>17</v>
      </c>
      <c r="B18" s="17"/>
      <c r="C18" s="17"/>
      <c r="D18" s="17"/>
      <c r="E18" s="17"/>
      <c r="F18" s="27"/>
      <c r="G18" s="30"/>
      <c r="H18" s="31"/>
      <c r="I18" s="30"/>
      <c r="J18" s="31"/>
      <c r="K18" s="30"/>
      <c r="L18" s="31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  <c r="X18" s="27"/>
      <c r="Y18" s="27"/>
      <c r="Z18" s="27"/>
      <c r="AA18" s="32"/>
    </row>
    <row r="19" spans="1:27" ht="15">
      <c r="A19" s="4">
        <v>18</v>
      </c>
      <c r="B19" s="17"/>
      <c r="C19" s="17"/>
      <c r="D19" s="17"/>
      <c r="E19" s="17"/>
      <c r="F19" s="27"/>
      <c r="G19" s="30"/>
      <c r="H19" s="31"/>
      <c r="I19" s="30"/>
      <c r="J19" s="31"/>
      <c r="K19" s="30"/>
      <c r="L19" s="3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7"/>
      <c r="Z19" s="27"/>
      <c r="AA19" s="32"/>
    </row>
    <row r="20" spans="1:27" ht="15">
      <c r="A20" s="4">
        <v>19</v>
      </c>
      <c r="B20" s="17"/>
      <c r="C20" s="17"/>
      <c r="D20" s="17"/>
      <c r="E20" s="17"/>
      <c r="F20" s="27"/>
      <c r="G20" s="39"/>
      <c r="H20" s="40"/>
      <c r="I20" s="39"/>
      <c r="J20" s="40"/>
      <c r="K20" s="39"/>
      <c r="L20" s="4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7"/>
    </row>
    <row r="21" spans="1:27" ht="15">
      <c r="A21" s="4">
        <v>20</v>
      </c>
      <c r="B21" s="17"/>
      <c r="C21" s="17"/>
      <c r="D21" s="17"/>
      <c r="E21" s="17"/>
      <c r="F21" s="27"/>
      <c r="G21" s="39"/>
      <c r="H21" s="40"/>
      <c r="I21" s="39"/>
      <c r="J21" s="40"/>
      <c r="K21" s="39"/>
      <c r="L21" s="4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7"/>
    </row>
    <row r="22" spans="1:27" ht="15">
      <c r="A22" s="4">
        <v>21</v>
      </c>
      <c r="B22" s="17"/>
      <c r="C22" s="17"/>
      <c r="D22" s="17"/>
      <c r="E22" s="17"/>
      <c r="F22" s="27"/>
      <c r="G22" s="39"/>
      <c r="H22" s="40"/>
      <c r="I22" s="39"/>
      <c r="J22" s="40"/>
      <c r="K22" s="39"/>
      <c r="L22" s="40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7"/>
    </row>
    <row r="23" spans="1:27" ht="15">
      <c r="A23" s="4">
        <v>22</v>
      </c>
      <c r="B23" s="37"/>
      <c r="C23" s="37"/>
      <c r="D23" s="37"/>
      <c r="E23" s="38"/>
      <c r="F23" s="28"/>
      <c r="G23" s="39"/>
      <c r="H23" s="40"/>
      <c r="I23" s="39"/>
      <c r="J23" s="40"/>
      <c r="K23" s="39"/>
      <c r="L23" s="40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7"/>
      <c r="AA23" s="37"/>
    </row>
    <row r="24" spans="1:27" ht="15">
      <c r="A24" s="4">
        <v>23</v>
      </c>
      <c r="B24" s="38"/>
      <c r="C24" s="38"/>
      <c r="D24" s="38"/>
      <c r="E24" s="38"/>
      <c r="F24" s="28"/>
      <c r="G24" s="39"/>
      <c r="H24" s="40"/>
      <c r="I24" s="39"/>
      <c r="J24" s="40"/>
      <c r="K24" s="39"/>
      <c r="L24" s="4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7"/>
    </row>
    <row r="25" spans="1:27" ht="15">
      <c r="A25" s="4">
        <v>24</v>
      </c>
      <c r="B25" s="17"/>
      <c r="C25" s="17"/>
      <c r="D25" s="17"/>
      <c r="E25" s="17"/>
      <c r="F25" s="27"/>
      <c r="G25" s="39"/>
      <c r="H25" s="40"/>
      <c r="I25" s="39"/>
      <c r="J25" s="40"/>
      <c r="K25" s="39"/>
      <c r="L25" s="40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7"/>
    </row>
    <row r="26" spans="1:27" ht="15">
      <c r="A26" s="4">
        <v>25</v>
      </c>
      <c r="B26" s="17"/>
      <c r="C26" s="17"/>
      <c r="D26" s="17"/>
      <c r="E26" s="17"/>
      <c r="F26" s="27"/>
      <c r="G26" s="39"/>
      <c r="H26" s="40"/>
      <c r="I26" s="39"/>
      <c r="J26" s="40"/>
      <c r="K26" s="39"/>
      <c r="L26" s="40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7"/>
    </row>
    <row r="27" spans="1:27" ht="15">
      <c r="A27" s="4">
        <v>26</v>
      </c>
      <c r="B27" s="17"/>
      <c r="C27" s="17"/>
      <c r="D27" s="17"/>
      <c r="E27" s="17"/>
      <c r="F27" s="27"/>
      <c r="G27" s="39"/>
      <c r="H27" s="40"/>
      <c r="I27" s="39"/>
      <c r="J27" s="40"/>
      <c r="K27" s="39"/>
      <c r="L27" s="40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7"/>
    </row>
    <row r="28" spans="1:27" ht="15">
      <c r="A28" s="4">
        <v>27</v>
      </c>
      <c r="B28" s="17"/>
      <c r="C28" s="17"/>
      <c r="D28" s="17"/>
      <c r="E28" s="17"/>
      <c r="F28" s="27"/>
      <c r="G28" s="39"/>
      <c r="H28" s="40"/>
      <c r="I28" s="39"/>
      <c r="J28" s="40"/>
      <c r="K28" s="39"/>
      <c r="L28" s="40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7"/>
    </row>
    <row r="29" spans="1:27" ht="15">
      <c r="A29" s="4">
        <v>28</v>
      </c>
      <c r="B29" s="17"/>
      <c r="C29" s="17"/>
      <c r="D29" s="17"/>
      <c r="E29" s="17"/>
      <c r="F29" s="27"/>
      <c r="G29" s="39"/>
      <c r="H29" s="40"/>
      <c r="I29" s="39"/>
      <c r="J29" s="40"/>
      <c r="K29" s="39"/>
      <c r="L29" s="40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7"/>
    </row>
    <row r="30" spans="1:27" ht="15">
      <c r="A30" s="4">
        <v>29</v>
      </c>
      <c r="B30" s="17"/>
      <c r="C30" s="17"/>
      <c r="D30" s="17"/>
      <c r="E30" s="17"/>
      <c r="F30" s="27"/>
      <c r="G30" s="39"/>
      <c r="H30" s="40"/>
      <c r="I30" s="39"/>
      <c r="J30" s="40"/>
      <c r="K30" s="39"/>
      <c r="L30" s="40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7"/>
    </row>
    <row r="31" spans="1:27" ht="15">
      <c r="A31" s="4">
        <v>30</v>
      </c>
      <c r="B31" s="17"/>
      <c r="C31" s="17"/>
      <c r="D31" s="17"/>
      <c r="E31" s="17"/>
      <c r="F31" s="27"/>
      <c r="G31" s="39"/>
      <c r="H31" s="40"/>
      <c r="I31" s="39"/>
      <c r="J31" s="40"/>
      <c r="K31" s="39"/>
      <c r="L31" s="40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7"/>
    </row>
    <row r="32" spans="1:27" ht="15">
      <c r="A32" s="4">
        <v>31</v>
      </c>
      <c r="B32" s="17"/>
      <c r="C32" s="17"/>
      <c r="D32" s="17"/>
      <c r="E32" s="17"/>
      <c r="F32" s="27"/>
      <c r="G32" s="39"/>
      <c r="H32" s="40"/>
      <c r="I32" s="39"/>
      <c r="J32" s="40"/>
      <c r="K32" s="39"/>
      <c r="L32" s="40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7"/>
    </row>
    <row r="33" spans="1:27" ht="15">
      <c r="A33" s="4">
        <v>32</v>
      </c>
      <c r="B33" s="17"/>
      <c r="C33" s="17"/>
      <c r="D33" s="17"/>
      <c r="E33" s="17"/>
      <c r="F33" s="27"/>
      <c r="G33" s="39"/>
      <c r="H33" s="40"/>
      <c r="I33" s="39"/>
      <c r="J33" s="40"/>
      <c r="K33" s="39"/>
      <c r="L33" s="40"/>
      <c r="M33" s="28"/>
      <c r="N33" s="27"/>
      <c r="O33" s="27"/>
      <c r="P33" s="28"/>
      <c r="Q33" s="28"/>
      <c r="R33" s="28"/>
      <c r="S33" s="27"/>
      <c r="T33" s="27"/>
      <c r="U33" s="28"/>
      <c r="V33" s="28"/>
      <c r="W33" s="28"/>
      <c r="X33" s="28"/>
      <c r="Y33" s="27"/>
      <c r="Z33" s="28"/>
      <c r="AA33" s="32"/>
    </row>
    <row r="34" spans="1:27" ht="15">
      <c r="A34" s="4">
        <v>33</v>
      </c>
      <c r="B34" s="17"/>
      <c r="C34" s="17"/>
      <c r="D34" s="17"/>
      <c r="E34" s="49"/>
      <c r="F34" s="27"/>
      <c r="G34" s="39"/>
      <c r="H34" s="40"/>
      <c r="I34" s="39"/>
      <c r="J34" s="40"/>
      <c r="K34" s="39"/>
      <c r="L34" s="40"/>
      <c r="M34" s="28"/>
      <c r="N34" s="27"/>
      <c r="O34" s="27"/>
      <c r="P34" s="28"/>
      <c r="Q34" s="28"/>
      <c r="R34" s="27"/>
      <c r="S34" s="27"/>
      <c r="T34" s="28"/>
      <c r="U34" s="27"/>
      <c r="V34" s="28"/>
      <c r="W34" s="28"/>
      <c r="X34" s="28"/>
      <c r="Y34" s="28"/>
      <c r="Z34" s="28"/>
      <c r="AA34" s="32"/>
    </row>
    <row r="35" spans="1:27" ht="15">
      <c r="A35" s="4">
        <v>34</v>
      </c>
      <c r="B35" s="17"/>
      <c r="C35" s="17"/>
      <c r="D35" s="17"/>
      <c r="E35" s="17"/>
      <c r="F35" s="27"/>
      <c r="G35" s="39"/>
      <c r="H35" s="40"/>
      <c r="I35" s="39"/>
      <c r="J35" s="40"/>
      <c r="K35" s="39"/>
      <c r="L35" s="40"/>
      <c r="M35" s="28"/>
      <c r="N35" s="27"/>
      <c r="O35" s="27"/>
      <c r="P35" s="28"/>
      <c r="Q35" s="28"/>
      <c r="R35" s="27"/>
      <c r="S35" s="27"/>
      <c r="T35" s="27"/>
      <c r="U35" s="27"/>
      <c r="V35" s="28"/>
      <c r="W35" s="28"/>
      <c r="X35" s="28"/>
      <c r="Y35" s="28"/>
      <c r="Z35" s="28"/>
      <c r="AA35" s="32"/>
    </row>
    <row r="36" spans="1:27" ht="15">
      <c r="A36" s="4">
        <v>35</v>
      </c>
      <c r="B36" s="17"/>
      <c r="C36" s="17"/>
      <c r="D36" s="17"/>
      <c r="E36" s="17"/>
      <c r="F36" s="27"/>
      <c r="G36" s="30"/>
      <c r="H36" s="31"/>
      <c r="I36" s="30"/>
      <c r="J36" s="31"/>
      <c r="K36" s="30"/>
      <c r="L36" s="31"/>
      <c r="M36" s="27"/>
      <c r="N36" s="27"/>
      <c r="O36" s="27"/>
      <c r="P36" s="27"/>
      <c r="Q36" s="27"/>
      <c r="R36" s="27"/>
      <c r="S36" s="27"/>
      <c r="T36" s="27"/>
      <c r="U36" s="27"/>
      <c r="V36" s="28"/>
      <c r="W36" s="28"/>
      <c r="X36" s="28"/>
      <c r="Y36" s="27"/>
      <c r="Z36" s="27"/>
      <c r="AA36" s="32"/>
    </row>
    <row r="37" spans="1:27" ht="15">
      <c r="A37" s="4">
        <v>36</v>
      </c>
      <c r="B37" s="17"/>
      <c r="C37" s="17"/>
      <c r="D37" s="17"/>
      <c r="E37" s="17"/>
      <c r="F37" s="27"/>
      <c r="G37" s="30"/>
      <c r="H37" s="31"/>
      <c r="I37" s="30"/>
      <c r="J37" s="31"/>
      <c r="K37" s="30"/>
      <c r="L37" s="31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28"/>
      <c r="X37" s="28"/>
      <c r="Y37" s="27"/>
      <c r="Z37" s="27"/>
      <c r="AA37" s="32"/>
    </row>
    <row r="38" spans="1:27" ht="15">
      <c r="A38" s="4">
        <v>37</v>
      </c>
      <c r="B38" s="37"/>
      <c r="C38" s="37"/>
      <c r="D38" s="37"/>
      <c r="E38" s="38"/>
      <c r="F38" s="28"/>
      <c r="G38" s="39"/>
      <c r="H38" s="40"/>
      <c r="I38" s="39"/>
      <c r="J38" s="40"/>
      <c r="K38" s="39"/>
      <c r="L38" s="40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43"/>
    </row>
    <row r="39" spans="1:27" ht="15">
      <c r="A39" s="4">
        <v>38</v>
      </c>
      <c r="B39" s="17"/>
      <c r="C39" s="17"/>
      <c r="D39" s="17"/>
      <c r="E39" s="17"/>
      <c r="F39" s="27"/>
      <c r="G39" s="39"/>
      <c r="H39" s="40"/>
      <c r="I39" s="39"/>
      <c r="J39" s="40"/>
      <c r="K39" s="39"/>
      <c r="L39" s="40"/>
      <c r="M39" s="28"/>
      <c r="N39" s="27"/>
      <c r="O39" s="27"/>
      <c r="P39" s="28"/>
      <c r="Q39" s="27"/>
      <c r="R39" s="28"/>
      <c r="S39" s="28"/>
      <c r="T39" s="28"/>
      <c r="U39" s="27"/>
      <c r="V39" s="28"/>
      <c r="W39" s="28"/>
      <c r="X39" s="28"/>
      <c r="Y39" s="28"/>
      <c r="Z39" s="28"/>
      <c r="AA39" s="37"/>
    </row>
    <row r="40" spans="1:27" ht="15">
      <c r="A40" s="4">
        <v>39</v>
      </c>
      <c r="B40" s="17"/>
      <c r="C40" s="17"/>
      <c r="D40" s="17"/>
      <c r="E40" s="17"/>
      <c r="F40" s="27"/>
      <c r="G40" s="30"/>
      <c r="H40" s="31"/>
      <c r="I40" s="30"/>
      <c r="J40" s="31"/>
      <c r="K40" s="30"/>
      <c r="L40" s="31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7"/>
      <c r="X40" s="28"/>
      <c r="Y40" s="27"/>
      <c r="Z40" s="27"/>
      <c r="AA40" s="32"/>
    </row>
    <row r="41" spans="1:27" ht="15">
      <c r="A41" s="4">
        <v>40</v>
      </c>
      <c r="B41" s="17"/>
      <c r="C41" s="17"/>
      <c r="D41" s="17"/>
      <c r="E41" s="17"/>
      <c r="F41" s="27"/>
      <c r="G41" s="30"/>
      <c r="H41" s="31"/>
      <c r="I41" s="30"/>
      <c r="J41" s="31"/>
      <c r="K41" s="30"/>
      <c r="L41" s="31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7"/>
      <c r="X41" s="28"/>
      <c r="Y41" s="27"/>
      <c r="Z41" s="27"/>
      <c r="AA41" s="32"/>
    </row>
    <row r="42" spans="1:27" ht="15">
      <c r="A42" s="4">
        <v>41</v>
      </c>
      <c r="B42" s="17"/>
      <c r="C42" s="17"/>
      <c r="D42" s="17"/>
      <c r="E42" s="17"/>
      <c r="F42" s="27"/>
      <c r="G42" s="30"/>
      <c r="H42" s="31"/>
      <c r="I42" s="30"/>
      <c r="J42" s="31"/>
      <c r="K42" s="30"/>
      <c r="L42" s="31"/>
      <c r="M42" s="33"/>
      <c r="N42" s="27"/>
      <c r="O42" s="27"/>
      <c r="P42" s="27"/>
      <c r="Q42" s="27"/>
      <c r="R42" s="27"/>
      <c r="S42" s="27"/>
      <c r="T42" s="27"/>
      <c r="U42" s="27"/>
      <c r="V42" s="28"/>
      <c r="W42" s="27"/>
      <c r="X42" s="28"/>
      <c r="Y42" s="27"/>
      <c r="Z42" s="27"/>
      <c r="AA42" s="17"/>
    </row>
    <row r="43" spans="1:27" ht="15">
      <c r="A43" s="4">
        <v>42</v>
      </c>
      <c r="B43" s="17"/>
      <c r="C43" s="17"/>
      <c r="D43" s="17"/>
      <c r="E43" s="17"/>
      <c r="F43" s="27"/>
      <c r="G43" s="30"/>
      <c r="H43" s="31"/>
      <c r="I43" s="30"/>
      <c r="J43" s="31"/>
      <c r="K43" s="30"/>
      <c r="L43" s="31"/>
      <c r="M43" s="33"/>
      <c r="N43" s="27"/>
      <c r="O43" s="27"/>
      <c r="P43" s="27"/>
      <c r="Q43" s="27"/>
      <c r="R43" s="27"/>
      <c r="S43" s="27"/>
      <c r="T43" s="28"/>
      <c r="U43" s="27"/>
      <c r="V43" s="28"/>
      <c r="W43" s="27"/>
      <c r="X43" s="28"/>
      <c r="Y43" s="27"/>
      <c r="Z43" s="27"/>
      <c r="AA43" s="17"/>
    </row>
    <row r="44" spans="1:27" ht="15">
      <c r="A44" s="4">
        <v>43</v>
      </c>
      <c r="B44" s="17"/>
      <c r="C44" s="17"/>
      <c r="D44" s="17"/>
      <c r="E44" s="17"/>
      <c r="F44" s="27"/>
      <c r="G44" s="30"/>
      <c r="H44" s="31"/>
      <c r="I44" s="30"/>
      <c r="J44" s="31"/>
      <c r="K44" s="30"/>
      <c r="L44" s="31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7"/>
      <c r="X44" s="28"/>
      <c r="Y44" s="27"/>
      <c r="Z44" s="27"/>
      <c r="AA44" s="17"/>
    </row>
    <row r="45" spans="1:27" ht="15">
      <c r="A45" s="4">
        <v>44</v>
      </c>
      <c r="B45" s="17"/>
      <c r="C45" s="17"/>
      <c r="D45" s="17"/>
      <c r="E45" s="17"/>
      <c r="F45" s="27"/>
      <c r="G45" s="30"/>
      <c r="H45" s="31"/>
      <c r="I45" s="30"/>
      <c r="J45" s="31"/>
      <c r="K45" s="30"/>
      <c r="L45" s="31"/>
      <c r="M45" s="27"/>
      <c r="N45" s="27"/>
      <c r="O45" s="27"/>
      <c r="P45" s="27"/>
      <c r="Q45" s="27"/>
      <c r="R45" s="27"/>
      <c r="S45" s="27"/>
      <c r="T45" s="27"/>
      <c r="U45" s="27"/>
      <c r="V45" s="28"/>
      <c r="W45" s="28"/>
      <c r="X45" s="28"/>
      <c r="Y45" s="27"/>
      <c r="Z45" s="27"/>
      <c r="AA45" s="17"/>
    </row>
    <row r="46" spans="1:27" ht="15">
      <c r="A46" s="4">
        <v>45</v>
      </c>
      <c r="B46" s="17"/>
      <c r="C46" s="17"/>
      <c r="D46" s="17"/>
      <c r="E46" s="17"/>
      <c r="F46" s="27"/>
      <c r="G46" s="30"/>
      <c r="H46" s="31"/>
      <c r="I46" s="30"/>
      <c r="J46" s="31"/>
      <c r="K46" s="30"/>
      <c r="L46" s="31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7"/>
      <c r="X46" s="28"/>
      <c r="Y46" s="27"/>
      <c r="Z46" s="27"/>
      <c r="AA46" s="17"/>
    </row>
    <row r="47" spans="1:27" ht="15">
      <c r="A47" s="4">
        <v>46</v>
      </c>
      <c r="B47" s="17"/>
      <c r="C47" s="17"/>
      <c r="D47" s="17"/>
      <c r="E47" s="17"/>
      <c r="F47" s="27"/>
      <c r="G47" s="30"/>
      <c r="H47" s="31"/>
      <c r="I47" s="30"/>
      <c r="J47" s="31"/>
      <c r="K47" s="30"/>
      <c r="L47" s="31"/>
      <c r="M47" s="27"/>
      <c r="N47" s="27"/>
      <c r="O47" s="27"/>
      <c r="P47" s="27"/>
      <c r="Q47" s="27"/>
      <c r="R47" s="27"/>
      <c r="S47" s="27"/>
      <c r="T47" s="28"/>
      <c r="U47" s="27"/>
      <c r="V47" s="28"/>
      <c r="W47" s="28"/>
      <c r="X47" s="28"/>
      <c r="Y47" s="27"/>
      <c r="Z47" s="27"/>
      <c r="AA47" s="17"/>
    </row>
    <row r="48" spans="1:27" ht="15">
      <c r="A48" s="4">
        <v>47</v>
      </c>
      <c r="B48" s="17"/>
      <c r="C48" s="17"/>
      <c r="D48" s="17"/>
      <c r="E48" s="17"/>
      <c r="F48" s="27"/>
      <c r="G48" s="30"/>
      <c r="H48" s="31"/>
      <c r="I48" s="30"/>
      <c r="J48" s="31"/>
      <c r="K48" s="30"/>
      <c r="L48" s="31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7"/>
      <c r="X48" s="28"/>
      <c r="Y48" s="27"/>
      <c r="Z48" s="27"/>
      <c r="AA48" s="17"/>
    </row>
    <row r="49" spans="1:27" ht="15">
      <c r="A49" s="4">
        <v>48</v>
      </c>
      <c r="B49" s="17"/>
      <c r="C49" s="17"/>
      <c r="D49" s="17"/>
      <c r="E49" s="17"/>
      <c r="F49" s="27"/>
      <c r="G49" s="30"/>
      <c r="H49" s="31"/>
      <c r="I49" s="30"/>
      <c r="J49" s="31"/>
      <c r="K49" s="30"/>
      <c r="L49" s="31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27"/>
      <c r="Y49" s="27"/>
      <c r="Z49" s="27"/>
      <c r="AA49" s="17"/>
    </row>
    <row r="50" spans="1:27" ht="15">
      <c r="A50" s="4">
        <v>49</v>
      </c>
      <c r="B50" s="37"/>
      <c r="C50" s="37"/>
      <c r="D50" s="37"/>
      <c r="E50" s="38"/>
      <c r="F50" s="28"/>
      <c r="G50" s="39"/>
      <c r="H50" s="40"/>
      <c r="I50" s="39"/>
      <c r="J50" s="40"/>
      <c r="K50" s="39"/>
      <c r="L50" s="40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8"/>
    </row>
    <row r="51" spans="1:27" ht="15">
      <c r="A51" s="4">
        <v>50</v>
      </c>
      <c r="B51" s="17"/>
      <c r="C51" s="17"/>
      <c r="D51" s="17"/>
      <c r="E51" s="17"/>
      <c r="F51" s="27"/>
      <c r="G51" s="30"/>
      <c r="H51" s="31"/>
      <c r="I51" s="30"/>
      <c r="J51" s="31"/>
      <c r="K51" s="30"/>
      <c r="L51" s="31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7"/>
      <c r="X51" s="28"/>
      <c r="Y51" s="27"/>
      <c r="Z51" s="27"/>
      <c r="AA51" s="17"/>
    </row>
    <row r="52" spans="1:27" ht="15">
      <c r="A52" s="4">
        <v>51</v>
      </c>
      <c r="B52" s="17"/>
      <c r="C52" s="17"/>
      <c r="D52" s="17"/>
      <c r="E52" s="17"/>
      <c r="F52" s="27"/>
      <c r="G52" s="30"/>
      <c r="H52" s="31"/>
      <c r="I52" s="30"/>
      <c r="J52" s="31"/>
      <c r="K52" s="30"/>
      <c r="L52" s="31"/>
      <c r="M52" s="27"/>
      <c r="N52" s="27"/>
      <c r="O52" s="27"/>
      <c r="P52" s="27"/>
      <c r="Q52" s="27"/>
      <c r="R52" s="27"/>
      <c r="S52" s="27"/>
      <c r="T52" s="28"/>
      <c r="U52" s="27"/>
      <c r="V52" s="28"/>
      <c r="W52" s="28"/>
      <c r="X52" s="27"/>
      <c r="Y52" s="27"/>
      <c r="Z52" s="27"/>
      <c r="AA52" s="17"/>
    </row>
    <row r="53" spans="1:27" ht="15">
      <c r="A53" s="4">
        <v>52</v>
      </c>
      <c r="B53" s="17"/>
      <c r="C53" s="17"/>
      <c r="D53" s="17"/>
      <c r="E53" s="17"/>
      <c r="F53" s="27"/>
      <c r="G53" s="30"/>
      <c r="H53" s="31"/>
      <c r="I53" s="30"/>
      <c r="J53" s="31"/>
      <c r="K53" s="30"/>
      <c r="L53" s="31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7"/>
      <c r="X53" s="28"/>
      <c r="Y53" s="27"/>
      <c r="Z53" s="27"/>
      <c r="AA53" s="17"/>
    </row>
    <row r="54" spans="1:27" ht="15">
      <c r="A54" s="4">
        <v>53</v>
      </c>
      <c r="B54" s="17"/>
      <c r="C54" s="17"/>
      <c r="D54" s="17"/>
      <c r="E54" s="17"/>
      <c r="F54" s="27"/>
      <c r="G54" s="30"/>
      <c r="H54" s="31"/>
      <c r="I54" s="30"/>
      <c r="J54" s="31"/>
      <c r="K54" s="30"/>
      <c r="L54" s="31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7"/>
      <c r="X54" s="28"/>
      <c r="Y54" s="27"/>
      <c r="Z54" s="27"/>
      <c r="AA54" s="17"/>
    </row>
    <row r="55" spans="1:27" ht="15">
      <c r="A55" s="4">
        <v>54</v>
      </c>
      <c r="B55" s="17"/>
      <c r="C55" s="17"/>
      <c r="D55" s="17"/>
      <c r="E55" s="17"/>
      <c r="F55" s="27"/>
      <c r="G55" s="30"/>
      <c r="H55" s="31"/>
      <c r="I55" s="30"/>
      <c r="J55" s="31"/>
      <c r="K55" s="30"/>
      <c r="L55" s="31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7"/>
      <c r="X55" s="28"/>
      <c r="Y55" s="27"/>
      <c r="Z55" s="27"/>
      <c r="AA55" s="17"/>
    </row>
    <row r="56" spans="1:27" ht="15">
      <c r="A56" s="4">
        <v>55</v>
      </c>
      <c r="B56" s="17"/>
      <c r="C56" s="17"/>
      <c r="D56" s="17"/>
      <c r="E56" s="17"/>
      <c r="F56" s="27"/>
      <c r="G56" s="30"/>
      <c r="H56" s="31"/>
      <c r="I56" s="30"/>
      <c r="J56" s="31"/>
      <c r="K56" s="30"/>
      <c r="L56" s="31"/>
      <c r="M56" s="27"/>
      <c r="N56" s="27"/>
      <c r="O56" s="27"/>
      <c r="P56" s="27"/>
      <c r="Q56" s="27"/>
      <c r="R56" s="27"/>
      <c r="S56" s="27"/>
      <c r="T56" s="28"/>
      <c r="U56" s="27"/>
      <c r="V56" s="28"/>
      <c r="W56" s="27"/>
      <c r="X56" s="28"/>
      <c r="Y56" s="27"/>
      <c r="Z56" s="27"/>
      <c r="AA56" s="17"/>
    </row>
    <row r="57" spans="1:27" ht="15">
      <c r="A57" s="4">
        <v>56</v>
      </c>
      <c r="B57" s="17"/>
      <c r="C57" s="17"/>
      <c r="D57" s="17"/>
      <c r="E57" s="17"/>
      <c r="F57" s="27"/>
      <c r="G57" s="30"/>
      <c r="H57" s="31"/>
      <c r="I57" s="30"/>
      <c r="J57" s="31"/>
      <c r="K57" s="30"/>
      <c r="L57" s="31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7"/>
      <c r="X57" s="28"/>
      <c r="Y57" s="27"/>
      <c r="Z57" s="27"/>
      <c r="AA57" s="17"/>
    </row>
    <row r="58" spans="1:27" ht="15">
      <c r="A58" s="4">
        <v>57</v>
      </c>
      <c r="B58" s="38"/>
      <c r="C58" s="38"/>
      <c r="D58" s="38"/>
      <c r="E58" s="38"/>
      <c r="F58" s="28"/>
      <c r="G58" s="39"/>
      <c r="H58" s="40"/>
      <c r="I58" s="39"/>
      <c r="J58" s="40"/>
      <c r="K58" s="39"/>
      <c r="L58" s="40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5">
      <c r="A59" s="4">
        <v>58</v>
      </c>
      <c r="B59" s="38"/>
      <c r="C59" s="38"/>
      <c r="D59" s="38"/>
      <c r="E59" s="38"/>
      <c r="F59" s="28"/>
      <c r="G59" s="39"/>
      <c r="H59" s="40"/>
      <c r="I59" s="39"/>
      <c r="J59" s="40"/>
      <c r="K59" s="39"/>
      <c r="L59" s="40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5">
      <c r="A60" s="4">
        <v>59</v>
      </c>
      <c r="B60" s="17"/>
      <c r="C60" s="17"/>
      <c r="D60" s="17"/>
      <c r="E60" s="17"/>
      <c r="F60" s="27"/>
      <c r="G60" s="30"/>
      <c r="H60" s="31"/>
      <c r="I60" s="30"/>
      <c r="J60" s="31"/>
      <c r="K60" s="30"/>
      <c r="L60" s="31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7"/>
      <c r="X60" s="28"/>
      <c r="Y60" s="27"/>
      <c r="Z60" s="27"/>
      <c r="AA60" s="17"/>
    </row>
    <row r="61" spans="1:27" ht="15">
      <c r="A61" s="4">
        <v>60</v>
      </c>
      <c r="B61" s="17"/>
      <c r="C61" s="17"/>
      <c r="D61" s="17"/>
      <c r="E61" s="17"/>
      <c r="F61" s="27"/>
      <c r="G61" s="30"/>
      <c r="H61" s="31"/>
      <c r="I61" s="30"/>
      <c r="J61" s="31"/>
      <c r="K61" s="30"/>
      <c r="L61" s="31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7"/>
      <c r="X61" s="28"/>
      <c r="Y61" s="27"/>
      <c r="Z61" s="27"/>
      <c r="AA61" s="17"/>
    </row>
    <row r="62" spans="1:27" ht="15">
      <c r="A62" s="4">
        <v>61</v>
      </c>
      <c r="B62" s="17"/>
      <c r="C62" s="17"/>
      <c r="D62" s="17"/>
      <c r="E62" s="17"/>
      <c r="F62" s="27"/>
      <c r="G62" s="30"/>
      <c r="H62" s="31"/>
      <c r="I62" s="30"/>
      <c r="J62" s="50"/>
      <c r="K62" s="30"/>
      <c r="L62" s="31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7"/>
      <c r="Z62" s="27"/>
      <c r="AA62" s="17"/>
    </row>
    <row r="63" spans="1:27" ht="15">
      <c r="A63" s="4">
        <v>62</v>
      </c>
      <c r="B63" s="17"/>
      <c r="C63" s="17"/>
      <c r="D63" s="17"/>
      <c r="E63" s="17"/>
      <c r="F63" s="27"/>
      <c r="G63" s="30"/>
      <c r="H63" s="31"/>
      <c r="I63" s="30"/>
      <c r="J63" s="31"/>
      <c r="K63" s="30"/>
      <c r="L63" s="31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7"/>
      <c r="Z63" s="27"/>
      <c r="AA63" s="17"/>
    </row>
    <row r="64" spans="1:27" ht="15">
      <c r="A64" s="4">
        <v>63</v>
      </c>
      <c r="B64" s="17"/>
      <c r="C64" s="17"/>
      <c r="D64" s="17"/>
      <c r="E64" s="17"/>
      <c r="F64" s="27"/>
      <c r="G64" s="30"/>
      <c r="H64" s="31"/>
      <c r="I64" s="30"/>
      <c r="J64" s="31"/>
      <c r="K64" s="30"/>
      <c r="L64" s="31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7"/>
      <c r="X64" s="28"/>
      <c r="Y64" s="27"/>
      <c r="Z64" s="27"/>
      <c r="AA64" s="17"/>
    </row>
    <row r="65" spans="1:27" ht="15">
      <c r="A65" s="4">
        <v>64</v>
      </c>
      <c r="B65" s="17"/>
      <c r="C65" s="17"/>
      <c r="D65" s="17"/>
      <c r="E65" s="17"/>
      <c r="F65" s="27"/>
      <c r="G65" s="30"/>
      <c r="H65" s="31"/>
      <c r="I65" s="30"/>
      <c r="J65" s="31"/>
      <c r="K65" s="30"/>
      <c r="L65" s="31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7"/>
      <c r="X65" s="28"/>
      <c r="Y65" s="27"/>
      <c r="Z65" s="27"/>
      <c r="AA65" s="17"/>
    </row>
    <row r="66" spans="1:27" ht="15">
      <c r="A66" s="4">
        <v>65</v>
      </c>
      <c r="B66" s="17"/>
      <c r="C66" s="17"/>
      <c r="D66" s="17"/>
      <c r="E66" s="17"/>
      <c r="F66" s="27"/>
      <c r="G66" s="30"/>
      <c r="H66" s="31"/>
      <c r="I66" s="30"/>
      <c r="J66" s="31"/>
      <c r="K66" s="30"/>
      <c r="L66" s="31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8"/>
      <c r="Y66" s="27"/>
      <c r="Z66" s="27"/>
      <c r="AA66" s="17"/>
    </row>
    <row r="67" spans="1:27" ht="15">
      <c r="A67" s="14">
        <v>66</v>
      </c>
      <c r="B67" s="17"/>
      <c r="C67" s="17"/>
      <c r="D67" s="17"/>
      <c r="E67" s="17"/>
      <c r="F67" s="27"/>
      <c r="G67" s="30"/>
      <c r="H67" s="31"/>
      <c r="I67" s="30"/>
      <c r="J67" s="31"/>
      <c r="K67" s="30"/>
      <c r="L67" s="31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7"/>
      <c r="X67" s="28"/>
      <c r="Y67" s="27"/>
      <c r="Z67" s="27"/>
      <c r="AA67" s="17"/>
    </row>
    <row r="68" spans="1:27" ht="15">
      <c r="A68" s="14">
        <v>67</v>
      </c>
      <c r="B68" s="17"/>
      <c r="C68" s="17"/>
      <c r="D68" s="17"/>
      <c r="E68" s="17"/>
      <c r="F68" s="27"/>
      <c r="G68" s="30"/>
      <c r="H68" s="31"/>
      <c r="I68" s="30"/>
      <c r="J68" s="31"/>
      <c r="K68" s="30"/>
      <c r="L68" s="31"/>
      <c r="M68" s="27"/>
      <c r="N68" s="27"/>
      <c r="O68" s="27"/>
      <c r="P68" s="27"/>
      <c r="Q68" s="27"/>
      <c r="R68" s="27"/>
      <c r="S68" s="27"/>
      <c r="T68" s="27"/>
      <c r="U68" s="27"/>
      <c r="V68" s="28"/>
      <c r="W68" s="28"/>
      <c r="X68" s="28"/>
      <c r="Y68" s="27"/>
      <c r="Z68" s="27"/>
      <c r="AA68" s="17"/>
    </row>
    <row r="69" spans="1:27" ht="15">
      <c r="A69" s="14">
        <v>68</v>
      </c>
      <c r="B69" s="37"/>
      <c r="C69" s="37"/>
      <c r="D69" s="37"/>
      <c r="E69" s="38"/>
      <c r="F69" s="28"/>
      <c r="G69" s="39"/>
      <c r="H69" s="40"/>
      <c r="I69" s="39"/>
      <c r="J69" s="40"/>
      <c r="K69" s="39"/>
      <c r="L69" s="40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41"/>
      <c r="Z69" s="28"/>
      <c r="AA69" s="37"/>
    </row>
    <row r="70" spans="1:27" ht="15">
      <c r="A70" s="14">
        <v>69</v>
      </c>
      <c r="B70" s="37"/>
      <c r="C70" s="37"/>
      <c r="D70" s="37"/>
      <c r="E70" s="38"/>
      <c r="F70" s="28"/>
      <c r="G70" s="39"/>
      <c r="H70" s="40"/>
      <c r="I70" s="39"/>
      <c r="J70" s="40"/>
      <c r="K70" s="39"/>
      <c r="L70" s="40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7"/>
    </row>
    <row r="71" spans="1:27" ht="15">
      <c r="A71" s="14">
        <v>70</v>
      </c>
      <c r="B71" s="51"/>
      <c r="C71" s="51"/>
      <c r="D71" s="51"/>
      <c r="E71" s="38"/>
      <c r="F71" s="28"/>
      <c r="G71" s="39"/>
      <c r="H71" s="40"/>
      <c r="I71" s="39"/>
      <c r="J71" s="40"/>
      <c r="K71" s="39"/>
      <c r="L71" s="40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8"/>
    </row>
    <row r="72" spans="1:27" ht="15">
      <c r="A72" s="14">
        <v>71</v>
      </c>
      <c r="B72" s="17"/>
      <c r="C72" s="17"/>
      <c r="D72" s="17"/>
      <c r="E72" s="17"/>
      <c r="F72" s="27"/>
      <c r="G72" s="30"/>
      <c r="H72" s="31"/>
      <c r="I72" s="30"/>
      <c r="J72" s="31"/>
      <c r="K72" s="30"/>
      <c r="L72" s="31"/>
      <c r="M72" s="27"/>
      <c r="N72" s="27"/>
      <c r="O72" s="27"/>
      <c r="P72" s="27"/>
      <c r="Q72" s="27"/>
      <c r="R72" s="27"/>
      <c r="S72" s="27"/>
      <c r="T72" s="27"/>
      <c r="U72" s="27"/>
      <c r="V72" s="28"/>
      <c r="W72" s="28"/>
      <c r="X72" s="28"/>
      <c r="Y72" s="27"/>
      <c r="Z72" s="27"/>
      <c r="AA72" s="17"/>
    </row>
    <row r="73" spans="1:27" ht="15">
      <c r="A73" s="14">
        <v>72</v>
      </c>
      <c r="B73" s="17"/>
      <c r="C73" s="17"/>
      <c r="D73" s="17"/>
      <c r="E73" s="17"/>
      <c r="F73" s="27"/>
      <c r="G73" s="30"/>
      <c r="H73" s="31"/>
      <c r="I73" s="30"/>
      <c r="J73" s="31"/>
      <c r="K73" s="30"/>
      <c r="L73" s="31"/>
      <c r="M73" s="27"/>
      <c r="N73" s="27"/>
      <c r="O73" s="27"/>
      <c r="P73" s="27"/>
      <c r="Q73" s="27"/>
      <c r="R73" s="27"/>
      <c r="S73" s="27"/>
      <c r="T73" s="27"/>
      <c r="U73" s="27"/>
      <c r="V73" s="28"/>
      <c r="W73" s="27"/>
      <c r="X73" s="28"/>
      <c r="Y73" s="27"/>
      <c r="Z73" s="27"/>
      <c r="AA73" s="17"/>
    </row>
    <row r="74" spans="1:27" ht="15">
      <c r="A74" s="14">
        <v>73</v>
      </c>
      <c r="B74" s="17"/>
      <c r="C74" s="17"/>
      <c r="D74" s="17"/>
      <c r="E74" s="17"/>
      <c r="F74" s="27"/>
      <c r="G74" s="30"/>
      <c r="H74" s="31"/>
      <c r="I74" s="30"/>
      <c r="J74" s="31"/>
      <c r="K74" s="30"/>
      <c r="L74" s="31"/>
      <c r="M74" s="27"/>
      <c r="N74" s="27"/>
      <c r="O74" s="27"/>
      <c r="P74" s="27"/>
      <c r="Q74" s="27"/>
      <c r="R74" s="27"/>
      <c r="S74" s="27"/>
      <c r="T74" s="27"/>
      <c r="U74" s="27"/>
      <c r="V74" s="28"/>
      <c r="W74" s="27"/>
      <c r="X74" s="28"/>
      <c r="Y74" s="27"/>
      <c r="Z74" s="27"/>
      <c r="AA74" s="17"/>
    </row>
    <row r="75" spans="1:27" ht="15">
      <c r="A75" s="14">
        <v>74</v>
      </c>
      <c r="B75" s="17"/>
      <c r="C75" s="17"/>
      <c r="D75" s="17"/>
      <c r="E75" s="17"/>
      <c r="F75" s="27"/>
      <c r="G75" s="30"/>
      <c r="H75" s="31"/>
      <c r="I75" s="30"/>
      <c r="J75" s="31"/>
      <c r="K75" s="30"/>
      <c r="L75" s="31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27"/>
      <c r="X75" s="28"/>
      <c r="Y75" s="27"/>
      <c r="Z75" s="27"/>
      <c r="AA75" s="17"/>
    </row>
    <row r="76" spans="1:27" ht="15">
      <c r="A76" s="14">
        <v>75</v>
      </c>
      <c r="B76" s="17"/>
      <c r="C76" s="17"/>
      <c r="D76" s="17"/>
      <c r="E76" s="17"/>
      <c r="F76" s="27"/>
      <c r="G76" s="30"/>
      <c r="H76" s="31"/>
      <c r="I76" s="30"/>
      <c r="J76" s="31"/>
      <c r="K76" s="30"/>
      <c r="L76" s="31"/>
      <c r="M76" s="27"/>
      <c r="N76" s="27"/>
      <c r="O76" s="27"/>
      <c r="P76" s="27"/>
      <c r="Q76" s="27"/>
      <c r="R76" s="27"/>
      <c r="S76" s="27"/>
      <c r="T76" s="27"/>
      <c r="U76" s="27"/>
      <c r="V76" s="28"/>
      <c r="W76" s="27"/>
      <c r="X76" s="28"/>
      <c r="Y76" s="27"/>
      <c r="Z76" s="27"/>
      <c r="AA76" s="17"/>
    </row>
    <row r="77" spans="1:27" ht="15">
      <c r="A77" s="14">
        <v>76</v>
      </c>
      <c r="B77" s="17"/>
      <c r="C77" s="17"/>
      <c r="D77" s="17"/>
      <c r="E77" s="17"/>
      <c r="F77" s="27"/>
      <c r="G77" s="30"/>
      <c r="H77" s="31"/>
      <c r="I77" s="30"/>
      <c r="J77" s="31"/>
      <c r="K77" s="30"/>
      <c r="L77" s="31"/>
      <c r="M77" s="27"/>
      <c r="N77" s="27"/>
      <c r="O77" s="27"/>
      <c r="P77" s="27"/>
      <c r="Q77" s="27"/>
      <c r="R77" s="27"/>
      <c r="S77" s="27"/>
      <c r="T77" s="27"/>
      <c r="U77" s="27"/>
      <c r="V77" s="28"/>
      <c r="W77" s="27"/>
      <c r="X77" s="28"/>
      <c r="Y77" s="27"/>
      <c r="Z77" s="27"/>
      <c r="AA77" s="17"/>
    </row>
    <row r="78" spans="1:27" ht="15">
      <c r="A78" s="14">
        <v>77</v>
      </c>
      <c r="B78" s="17"/>
      <c r="C78" s="17"/>
      <c r="D78" s="17"/>
      <c r="E78" s="17"/>
      <c r="F78" s="27"/>
      <c r="G78" s="30"/>
      <c r="H78" s="31"/>
      <c r="I78" s="30"/>
      <c r="J78" s="31"/>
      <c r="K78" s="30"/>
      <c r="L78" s="31"/>
      <c r="M78" s="27"/>
      <c r="N78" s="27"/>
      <c r="O78" s="27"/>
      <c r="P78" s="27"/>
      <c r="Q78" s="27"/>
      <c r="R78" s="27"/>
      <c r="S78" s="27"/>
      <c r="T78" s="27"/>
      <c r="U78" s="27"/>
      <c r="V78" s="28"/>
      <c r="W78" s="27"/>
      <c r="X78" s="28"/>
      <c r="Y78" s="27"/>
      <c r="Z78" s="27"/>
      <c r="AA78" s="17"/>
    </row>
    <row r="79" spans="1:27" ht="15">
      <c r="A79" s="14">
        <v>78</v>
      </c>
      <c r="B79" s="17"/>
      <c r="C79" s="17"/>
      <c r="D79" s="17"/>
      <c r="E79" s="17"/>
      <c r="F79" s="27"/>
      <c r="G79" s="30"/>
      <c r="H79" s="31"/>
      <c r="I79" s="30"/>
      <c r="J79" s="31"/>
      <c r="K79" s="30"/>
      <c r="L79" s="31"/>
      <c r="M79" s="27"/>
      <c r="N79" s="27"/>
      <c r="O79" s="27"/>
      <c r="P79" s="27"/>
      <c r="Q79" s="27"/>
      <c r="R79" s="27"/>
      <c r="S79" s="27"/>
      <c r="T79" s="28"/>
      <c r="U79" s="27"/>
      <c r="V79" s="28"/>
      <c r="W79" s="27"/>
      <c r="X79" s="28"/>
      <c r="Y79" s="27"/>
      <c r="Z79" s="27"/>
      <c r="AA79" s="17"/>
    </row>
    <row r="80" spans="1:27" ht="15">
      <c r="A80" s="14">
        <v>79</v>
      </c>
      <c r="B80" s="17"/>
      <c r="C80" s="17"/>
      <c r="D80" s="17"/>
      <c r="E80" s="17"/>
      <c r="F80" s="27"/>
      <c r="G80" s="30"/>
      <c r="H80" s="31"/>
      <c r="I80" s="30"/>
      <c r="J80" s="31"/>
      <c r="K80" s="30"/>
      <c r="L80" s="31"/>
      <c r="M80" s="27"/>
      <c r="N80" s="27"/>
      <c r="O80" s="27"/>
      <c r="P80" s="27"/>
      <c r="Q80" s="27"/>
      <c r="R80" s="27"/>
      <c r="S80" s="27"/>
      <c r="T80" s="27"/>
      <c r="U80" s="27"/>
      <c r="V80" s="28"/>
      <c r="W80" s="27"/>
      <c r="X80" s="28"/>
      <c r="Y80" s="27"/>
      <c r="Z80" s="27"/>
      <c r="AA80" s="17"/>
    </row>
    <row r="81" spans="1:27" ht="15">
      <c r="A81" s="14">
        <v>80</v>
      </c>
      <c r="B81" s="17"/>
      <c r="C81" s="17"/>
      <c r="D81" s="17"/>
      <c r="E81" s="17"/>
      <c r="F81" s="27"/>
      <c r="G81" s="30"/>
      <c r="H81" s="31"/>
      <c r="I81" s="30"/>
      <c r="J81" s="31"/>
      <c r="K81" s="30"/>
      <c r="L81" s="31"/>
      <c r="M81" s="27"/>
      <c r="N81" s="27"/>
      <c r="O81" s="27"/>
      <c r="P81" s="27"/>
      <c r="Q81" s="27"/>
      <c r="R81" s="27"/>
      <c r="S81" s="27"/>
      <c r="T81" s="28"/>
      <c r="U81" s="27"/>
      <c r="V81" s="28"/>
      <c r="W81" s="28"/>
      <c r="X81" s="28"/>
      <c r="Y81" s="27"/>
      <c r="Z81" s="27"/>
      <c r="AA81" s="17"/>
    </row>
    <row r="82" spans="1:27" ht="15">
      <c r="A82" s="14">
        <v>81</v>
      </c>
      <c r="B82" s="17"/>
      <c r="C82" s="17"/>
      <c r="D82" s="17"/>
      <c r="E82" s="17"/>
      <c r="F82" s="27"/>
      <c r="G82" s="30"/>
      <c r="H82" s="31"/>
      <c r="I82" s="30"/>
      <c r="J82" s="31"/>
      <c r="K82" s="30"/>
      <c r="L82" s="31"/>
      <c r="M82" s="27"/>
      <c r="N82" s="27"/>
      <c r="O82" s="27"/>
      <c r="P82" s="27"/>
      <c r="Q82" s="27"/>
      <c r="R82" s="27"/>
      <c r="S82" s="27"/>
      <c r="T82" s="27"/>
      <c r="U82" s="27"/>
      <c r="V82" s="28"/>
      <c r="W82" s="27"/>
      <c r="X82" s="28"/>
      <c r="Y82" s="27"/>
      <c r="Z82" s="27"/>
      <c r="AA82" s="17"/>
    </row>
    <row r="83" spans="1:27" ht="15">
      <c r="A83" s="44">
        <v>82</v>
      </c>
      <c r="B83" s="17"/>
      <c r="C83" s="17"/>
      <c r="D83" s="17"/>
      <c r="E83" s="17"/>
      <c r="F83" s="27"/>
      <c r="G83" s="30"/>
      <c r="H83" s="31"/>
      <c r="I83" s="30"/>
      <c r="J83" s="31"/>
      <c r="K83" s="30"/>
      <c r="L83" s="31"/>
      <c r="M83" s="27"/>
      <c r="N83" s="27"/>
      <c r="O83" s="27"/>
      <c r="P83" s="27"/>
      <c r="Q83" s="27"/>
      <c r="R83" s="27"/>
      <c r="S83" s="27"/>
      <c r="T83" s="27"/>
      <c r="U83" s="27"/>
      <c r="V83" s="28"/>
      <c r="W83" s="27"/>
      <c r="X83" s="28"/>
      <c r="Y83" s="27"/>
      <c r="Z83" s="27"/>
      <c r="AA83" s="17"/>
    </row>
    <row r="84" spans="1:27" ht="15">
      <c r="A84" s="14">
        <v>83</v>
      </c>
      <c r="B84" s="17"/>
      <c r="C84" s="17"/>
      <c r="D84" s="17"/>
      <c r="E84" s="17"/>
      <c r="F84" s="27"/>
      <c r="G84" s="30"/>
      <c r="H84" s="31"/>
      <c r="I84" s="30"/>
      <c r="J84" s="31"/>
      <c r="K84" s="30"/>
      <c r="L84" s="31"/>
      <c r="M84" s="27"/>
      <c r="N84" s="27"/>
      <c r="O84" s="27"/>
      <c r="P84" s="27"/>
      <c r="Q84" s="27"/>
      <c r="R84" s="27"/>
      <c r="S84" s="27"/>
      <c r="T84" s="27"/>
      <c r="U84" s="27"/>
      <c r="V84" s="28"/>
      <c r="W84" s="28"/>
      <c r="X84" s="27"/>
      <c r="Y84" s="27"/>
      <c r="Z84" s="27"/>
      <c r="AA84" s="17"/>
    </row>
    <row r="85" spans="1:27" ht="15">
      <c r="A85" s="14">
        <v>84</v>
      </c>
      <c r="B85" s="17"/>
      <c r="C85" s="17"/>
      <c r="D85" s="17"/>
      <c r="E85" s="17"/>
      <c r="F85" s="27"/>
      <c r="G85" s="30"/>
      <c r="H85" s="31"/>
      <c r="I85" s="30"/>
      <c r="J85" s="31"/>
      <c r="K85" s="30"/>
      <c r="L85" s="31"/>
      <c r="M85" s="27"/>
      <c r="N85" s="27"/>
      <c r="O85" s="27"/>
      <c r="P85" s="27"/>
      <c r="Q85" s="27"/>
      <c r="R85" s="27"/>
      <c r="S85" s="27"/>
      <c r="T85" s="28"/>
      <c r="U85" s="27"/>
      <c r="V85" s="28"/>
      <c r="W85" s="27"/>
      <c r="X85" s="28"/>
      <c r="Y85" s="27"/>
      <c r="Z85" s="27"/>
      <c r="AA85" s="17"/>
    </row>
    <row r="86" spans="1:27" ht="15">
      <c r="A86" s="14">
        <v>85</v>
      </c>
      <c r="B86" s="17"/>
      <c r="C86" s="17"/>
      <c r="D86" s="17"/>
      <c r="E86" s="17"/>
      <c r="F86" s="27"/>
      <c r="G86" s="30"/>
      <c r="H86" s="31"/>
      <c r="I86" s="30"/>
      <c r="J86" s="31"/>
      <c r="K86" s="30"/>
      <c r="L86" s="31"/>
      <c r="M86" s="27"/>
      <c r="N86" s="27"/>
      <c r="O86" s="27"/>
      <c r="P86" s="27"/>
      <c r="Q86" s="27"/>
      <c r="R86" s="27"/>
      <c r="S86" s="27"/>
      <c r="T86" s="27"/>
      <c r="U86" s="27"/>
      <c r="V86" s="28"/>
      <c r="W86" s="28"/>
      <c r="X86" s="28"/>
      <c r="Y86" s="27"/>
      <c r="Z86" s="27"/>
      <c r="AA86" s="17"/>
    </row>
    <row r="87" spans="1:27" ht="15">
      <c r="A87" s="14">
        <v>86</v>
      </c>
      <c r="B87" s="17"/>
      <c r="C87" s="17"/>
      <c r="D87" s="17"/>
      <c r="E87" s="17"/>
      <c r="F87" s="27"/>
      <c r="G87" s="30"/>
      <c r="H87" s="31"/>
      <c r="I87" s="30"/>
      <c r="J87" s="31"/>
      <c r="K87" s="30"/>
      <c r="L87" s="31"/>
      <c r="M87" s="27"/>
      <c r="N87" s="27"/>
      <c r="O87" s="27"/>
      <c r="P87" s="27"/>
      <c r="Q87" s="27"/>
      <c r="R87" s="27"/>
      <c r="S87" s="27"/>
      <c r="T87" s="27"/>
      <c r="U87" s="27"/>
      <c r="V87" s="28"/>
      <c r="W87" s="28"/>
      <c r="X87" s="28"/>
      <c r="Y87" s="27"/>
      <c r="Z87" s="27"/>
      <c r="AA87" s="17"/>
    </row>
    <row r="88" spans="1:27" ht="15">
      <c r="A88" s="14">
        <v>87</v>
      </c>
      <c r="B88" s="17"/>
      <c r="C88" s="17"/>
      <c r="D88" s="17"/>
      <c r="E88" s="17"/>
      <c r="F88" s="27"/>
      <c r="G88" s="30"/>
      <c r="H88" s="31"/>
      <c r="I88" s="30"/>
      <c r="J88" s="31"/>
      <c r="K88" s="30"/>
      <c r="L88" s="31"/>
      <c r="M88" s="27"/>
      <c r="N88" s="27"/>
      <c r="O88" s="27"/>
      <c r="P88" s="27"/>
      <c r="Q88" s="27"/>
      <c r="R88" s="27"/>
      <c r="S88" s="27"/>
      <c r="T88" s="27"/>
      <c r="U88" s="27"/>
      <c r="V88" s="28"/>
      <c r="W88" s="28"/>
      <c r="X88" s="27"/>
      <c r="Y88" s="27"/>
      <c r="Z88" s="27"/>
      <c r="AA88" s="17"/>
    </row>
    <row r="89" spans="1:27" ht="15">
      <c r="A89" s="14">
        <v>88</v>
      </c>
      <c r="B89" s="17"/>
      <c r="C89" s="17"/>
      <c r="D89" s="17"/>
      <c r="E89" s="17"/>
      <c r="F89" s="27"/>
      <c r="G89" s="30"/>
      <c r="H89" s="31"/>
      <c r="I89" s="30"/>
      <c r="J89" s="31"/>
      <c r="K89" s="30"/>
      <c r="L89" s="31"/>
      <c r="M89" s="27"/>
      <c r="N89" s="27"/>
      <c r="O89" s="27"/>
      <c r="P89" s="27"/>
      <c r="Q89" s="27"/>
      <c r="R89" s="27"/>
      <c r="S89" s="27"/>
      <c r="T89" s="27"/>
      <c r="U89" s="27"/>
      <c r="V89" s="28"/>
      <c r="W89" s="27"/>
      <c r="X89" s="28"/>
      <c r="Y89" s="27"/>
      <c r="Z89" s="27"/>
      <c r="AA89" s="17"/>
    </row>
    <row r="90" spans="1:27" ht="15">
      <c r="A90" s="14">
        <v>89</v>
      </c>
      <c r="B90" s="17"/>
      <c r="C90" s="17"/>
      <c r="D90" s="17"/>
      <c r="E90" s="17"/>
      <c r="F90" s="27"/>
      <c r="G90" s="30"/>
      <c r="H90" s="31"/>
      <c r="I90" s="30"/>
      <c r="J90" s="31"/>
      <c r="K90" s="30"/>
      <c r="L90" s="31"/>
      <c r="M90" s="27"/>
      <c r="N90" s="27"/>
      <c r="O90" s="27"/>
      <c r="P90" s="27"/>
      <c r="Q90" s="27"/>
      <c r="R90" s="27"/>
      <c r="S90" s="27"/>
      <c r="T90" s="27"/>
      <c r="U90" s="27"/>
      <c r="V90" s="28"/>
      <c r="W90" s="27"/>
      <c r="X90" s="28"/>
      <c r="Y90" s="27"/>
      <c r="Z90" s="27"/>
      <c r="AA90" s="17"/>
    </row>
    <row r="91" spans="1:27" ht="15">
      <c r="A91" s="14">
        <v>90</v>
      </c>
      <c r="B91" s="17"/>
      <c r="C91" s="17"/>
      <c r="D91" s="17"/>
      <c r="E91" s="17"/>
      <c r="F91" s="27"/>
      <c r="G91" s="30"/>
      <c r="H91" s="31"/>
      <c r="I91" s="30"/>
      <c r="J91" s="31"/>
      <c r="K91" s="30"/>
      <c r="L91" s="31"/>
      <c r="M91" s="27"/>
      <c r="N91" s="27"/>
      <c r="O91" s="27"/>
      <c r="P91" s="27"/>
      <c r="Q91" s="27"/>
      <c r="R91" s="27"/>
      <c r="S91" s="27"/>
      <c r="T91" s="27"/>
      <c r="U91" s="27"/>
      <c r="V91" s="28"/>
      <c r="W91" s="28"/>
      <c r="X91" s="28"/>
      <c r="Y91" s="27"/>
      <c r="Z91" s="27"/>
      <c r="AA91" s="17"/>
    </row>
    <row r="92" spans="1:27" ht="15">
      <c r="A92" s="14">
        <v>91</v>
      </c>
      <c r="B92" s="17"/>
      <c r="C92" s="17"/>
      <c r="D92" s="17"/>
      <c r="E92" s="17"/>
      <c r="F92" s="27"/>
      <c r="G92" s="30"/>
      <c r="H92" s="31"/>
      <c r="I92" s="30"/>
      <c r="J92" s="31"/>
      <c r="K92" s="30"/>
      <c r="L92" s="31"/>
      <c r="M92" s="27"/>
      <c r="N92" s="27"/>
      <c r="O92" s="27"/>
      <c r="P92" s="27"/>
      <c r="Q92" s="27"/>
      <c r="R92" s="27"/>
      <c r="S92" s="27"/>
      <c r="T92" s="27"/>
      <c r="U92" s="27"/>
      <c r="V92" s="28"/>
      <c r="W92" s="27"/>
      <c r="X92" s="28"/>
      <c r="Y92" s="27"/>
      <c r="Z92" s="27"/>
      <c r="AA92" s="17"/>
    </row>
    <row r="93" spans="1:27" ht="15">
      <c r="A93" s="14">
        <v>92</v>
      </c>
      <c r="B93" s="17"/>
      <c r="C93" s="17"/>
      <c r="D93" s="17"/>
      <c r="E93" s="17"/>
      <c r="F93" s="27"/>
      <c r="G93" s="30"/>
      <c r="H93" s="31"/>
      <c r="I93" s="30"/>
      <c r="J93" s="31"/>
      <c r="K93" s="30"/>
      <c r="L93" s="50"/>
      <c r="M93" s="27"/>
      <c r="N93" s="27"/>
      <c r="O93" s="27"/>
      <c r="P93" s="27"/>
      <c r="Q93" s="27"/>
      <c r="R93" s="27"/>
      <c r="S93" s="27"/>
      <c r="T93" s="27"/>
      <c r="U93" s="27"/>
      <c r="V93" s="28"/>
      <c r="W93" s="28"/>
      <c r="X93" s="28"/>
      <c r="Y93" s="27"/>
      <c r="Z93" s="27"/>
      <c r="AA93" s="17"/>
    </row>
    <row r="94" spans="1:27" ht="15">
      <c r="A94" s="14">
        <v>93</v>
      </c>
      <c r="B94" s="17"/>
      <c r="C94" s="17"/>
      <c r="D94" s="17"/>
      <c r="E94" s="17"/>
      <c r="F94" s="27"/>
      <c r="G94" s="30"/>
      <c r="H94" s="31"/>
      <c r="I94" s="30"/>
      <c r="J94" s="31"/>
      <c r="K94" s="30"/>
      <c r="L94" s="31"/>
      <c r="M94" s="27"/>
      <c r="N94" s="27"/>
      <c r="O94" s="27"/>
      <c r="P94" s="27"/>
      <c r="Q94" s="27"/>
      <c r="R94" s="27"/>
      <c r="S94" s="27"/>
      <c r="T94" s="27"/>
      <c r="U94" s="27"/>
      <c r="V94" s="28"/>
      <c r="W94" s="27"/>
      <c r="X94" s="28"/>
      <c r="Y94" s="27"/>
      <c r="Z94" s="27"/>
      <c r="AA94" s="17"/>
    </row>
    <row r="95" spans="1:27" ht="15">
      <c r="A95" s="14">
        <v>94</v>
      </c>
      <c r="B95" s="17"/>
      <c r="C95" s="17"/>
      <c r="D95" s="17"/>
      <c r="E95" s="17"/>
      <c r="F95" s="27"/>
      <c r="G95" s="30"/>
      <c r="H95" s="31"/>
      <c r="I95" s="30"/>
      <c r="J95" s="31"/>
      <c r="K95" s="30"/>
      <c r="L95" s="31"/>
      <c r="M95" s="27"/>
      <c r="N95" s="27"/>
      <c r="O95" s="27"/>
      <c r="P95" s="27"/>
      <c r="Q95" s="27"/>
      <c r="R95" s="27"/>
      <c r="S95" s="27"/>
      <c r="T95" s="27"/>
      <c r="U95" s="27"/>
      <c r="V95" s="28"/>
      <c r="W95" s="27"/>
      <c r="X95" s="28"/>
      <c r="Y95" s="27"/>
      <c r="Z95" s="27"/>
      <c r="AA95" s="17"/>
    </row>
    <row r="96" spans="1:27" ht="15">
      <c r="A96" s="14">
        <v>95</v>
      </c>
      <c r="B96" s="17"/>
      <c r="C96" s="17"/>
      <c r="D96" s="17"/>
      <c r="E96" s="17"/>
      <c r="F96" s="27"/>
      <c r="G96" s="30"/>
      <c r="H96" s="31"/>
      <c r="I96" s="30"/>
      <c r="J96" s="31"/>
      <c r="K96" s="30"/>
      <c r="L96" s="31"/>
      <c r="M96" s="27"/>
      <c r="N96" s="27"/>
      <c r="O96" s="27"/>
      <c r="P96" s="27"/>
      <c r="Q96" s="27"/>
      <c r="R96" s="27"/>
      <c r="S96" s="27"/>
      <c r="T96" s="28"/>
      <c r="U96" s="27"/>
      <c r="V96" s="28"/>
      <c r="W96" s="27"/>
      <c r="X96" s="28"/>
      <c r="Y96" s="27"/>
      <c r="Z96" s="27"/>
      <c r="AA96" s="17"/>
    </row>
    <row r="97" spans="1:27" ht="15">
      <c r="A97" s="14">
        <v>96</v>
      </c>
      <c r="B97" s="17"/>
      <c r="C97" s="17"/>
      <c r="D97" s="17"/>
      <c r="E97" s="17"/>
      <c r="F97" s="27"/>
      <c r="G97" s="30"/>
      <c r="H97" s="31"/>
      <c r="I97" s="30"/>
      <c r="J97" s="31"/>
      <c r="K97" s="30"/>
      <c r="L97" s="31"/>
      <c r="M97" s="27"/>
      <c r="N97" s="27"/>
      <c r="O97" s="27"/>
      <c r="P97" s="27"/>
      <c r="Q97" s="27"/>
      <c r="R97" s="27"/>
      <c r="S97" s="27"/>
      <c r="T97" s="28"/>
      <c r="U97" s="27"/>
      <c r="V97" s="28"/>
      <c r="W97" s="27"/>
      <c r="X97" s="28"/>
      <c r="Y97" s="27"/>
      <c r="Z97" s="27"/>
      <c r="AA97" s="17"/>
    </row>
    <row r="98" spans="1:27" ht="15">
      <c r="A98" s="14">
        <v>97</v>
      </c>
      <c r="B98" s="17"/>
      <c r="C98" s="17"/>
      <c r="D98" s="17"/>
      <c r="E98" s="17"/>
      <c r="F98" s="27"/>
      <c r="G98" s="30"/>
      <c r="H98" s="31"/>
      <c r="I98" s="30"/>
      <c r="J98" s="31"/>
      <c r="K98" s="30"/>
      <c r="L98" s="31"/>
      <c r="M98" s="27"/>
      <c r="N98" s="27"/>
      <c r="O98" s="27"/>
      <c r="P98" s="27"/>
      <c r="Q98" s="27"/>
      <c r="R98" s="27"/>
      <c r="S98" s="27"/>
      <c r="T98" s="28"/>
      <c r="U98" s="27"/>
      <c r="V98" s="28"/>
      <c r="W98" s="27"/>
      <c r="X98" s="27"/>
      <c r="Y98" s="27"/>
      <c r="Z98" s="27"/>
      <c r="AA98" s="17"/>
    </row>
    <row r="99" spans="1:27" ht="15">
      <c r="A99" s="14">
        <v>98</v>
      </c>
      <c r="B99" s="17"/>
      <c r="C99" s="17"/>
      <c r="D99" s="17"/>
      <c r="E99" s="17"/>
      <c r="F99" s="27"/>
      <c r="G99" s="30"/>
      <c r="H99" s="31"/>
      <c r="I99" s="30"/>
      <c r="J99" s="31"/>
      <c r="K99" s="30"/>
      <c r="L99" s="31"/>
      <c r="M99" s="27"/>
      <c r="N99" s="27"/>
      <c r="O99" s="27"/>
      <c r="P99" s="27"/>
      <c r="Q99" s="27"/>
      <c r="R99" s="27"/>
      <c r="S99" s="27"/>
      <c r="T99" s="28"/>
      <c r="U99" s="27"/>
      <c r="V99" s="28"/>
      <c r="W99" s="27"/>
      <c r="X99" s="27"/>
      <c r="Y99" s="27"/>
      <c r="Z99" s="27"/>
      <c r="AA99" s="17"/>
    </row>
    <row r="100" spans="1:27" ht="15">
      <c r="A100" s="14">
        <v>99</v>
      </c>
      <c r="B100" s="17"/>
      <c r="C100" s="17"/>
      <c r="D100" s="17"/>
      <c r="E100" s="17"/>
      <c r="F100" s="27"/>
      <c r="G100" s="30"/>
      <c r="H100" s="31"/>
      <c r="I100" s="30"/>
      <c r="J100" s="31"/>
      <c r="K100" s="30"/>
      <c r="L100" s="31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8"/>
      <c r="Y100" s="27"/>
      <c r="Z100" s="27"/>
      <c r="AA100" s="17"/>
    </row>
    <row r="101" spans="1:27" ht="15">
      <c r="A101" s="14">
        <v>100</v>
      </c>
      <c r="B101" s="17"/>
      <c r="C101" s="17"/>
      <c r="D101" s="17"/>
      <c r="E101" s="17"/>
      <c r="F101" s="27"/>
      <c r="G101" s="30"/>
      <c r="H101" s="31"/>
      <c r="I101" s="30"/>
      <c r="J101" s="31"/>
      <c r="K101" s="30"/>
      <c r="L101" s="31"/>
      <c r="M101" s="27"/>
      <c r="N101" s="27"/>
      <c r="O101" s="27"/>
      <c r="P101" s="27"/>
      <c r="Q101" s="32"/>
      <c r="R101" s="27"/>
      <c r="S101" s="27"/>
      <c r="T101" s="27"/>
      <c r="U101" s="32"/>
      <c r="V101" s="27"/>
      <c r="W101" s="32"/>
      <c r="X101" s="28"/>
      <c r="Y101" s="27"/>
      <c r="Z101" s="32"/>
      <c r="AA101" s="17"/>
    </row>
    <row r="102" spans="2:27" ht="15">
      <c r="B102" s="15"/>
      <c r="C102" s="15"/>
      <c r="D102" s="15"/>
      <c r="E102" s="5"/>
      <c r="F102" s="6"/>
      <c r="G102" s="12"/>
      <c r="H102" s="13"/>
      <c r="I102" s="12"/>
      <c r="J102" s="13"/>
      <c r="K102" s="12"/>
      <c r="L102" s="13"/>
      <c r="M102" s="6"/>
      <c r="N102" s="6"/>
      <c r="O102" s="6"/>
      <c r="P102" s="6"/>
      <c r="Q102" s="14"/>
      <c r="R102" s="6"/>
      <c r="S102" s="6"/>
      <c r="T102" s="6"/>
      <c r="U102" s="6"/>
      <c r="V102" s="6"/>
      <c r="W102" s="6"/>
      <c r="X102" s="10"/>
      <c r="Y102" s="6"/>
      <c r="Z102" s="14"/>
      <c r="AA102" s="15"/>
    </row>
    <row r="103" spans="2:27" ht="15">
      <c r="B103" s="42" t="s">
        <v>28</v>
      </c>
      <c r="C103" s="32"/>
      <c r="D103" s="32"/>
      <c r="E103" s="5"/>
      <c r="F103" s="6"/>
      <c r="G103" s="12"/>
      <c r="H103" s="13"/>
      <c r="I103" s="12"/>
      <c r="J103" s="13"/>
      <c r="K103" s="16"/>
      <c r="L103" s="13"/>
      <c r="M103" s="6"/>
      <c r="N103" s="6"/>
      <c r="O103" s="6"/>
      <c r="P103" s="6"/>
      <c r="Q103" s="14"/>
      <c r="R103" s="6"/>
      <c r="S103" s="6"/>
      <c r="T103" s="6"/>
      <c r="U103" s="6"/>
      <c r="V103" s="10"/>
      <c r="W103" s="6"/>
      <c r="X103" s="6"/>
      <c r="Y103" s="6"/>
      <c r="Z103" s="14"/>
      <c r="AA103" s="14"/>
    </row>
    <row r="104" spans="2:27" ht="15">
      <c r="B104" s="34" t="s">
        <v>23</v>
      </c>
      <c r="C104" s="32"/>
      <c r="D104" s="32"/>
      <c r="E104" s="5"/>
      <c r="F104" s="6"/>
      <c r="G104" s="12"/>
      <c r="H104" s="13"/>
      <c r="I104" s="12"/>
      <c r="J104" s="13"/>
      <c r="K104" s="12"/>
      <c r="L104" s="13"/>
      <c r="M104" s="6"/>
      <c r="N104" s="6"/>
      <c r="O104" s="6"/>
      <c r="P104" s="6"/>
      <c r="Q104" s="14"/>
      <c r="R104" s="6"/>
      <c r="S104" s="6"/>
      <c r="T104" s="6"/>
      <c r="U104" s="6"/>
      <c r="V104" s="10"/>
      <c r="W104" s="6"/>
      <c r="X104" s="6"/>
      <c r="Y104" s="6"/>
      <c r="Z104" s="14"/>
      <c r="AA104" s="14"/>
    </row>
    <row r="105" spans="2:27" ht="15">
      <c r="B105" s="35" t="s">
        <v>24</v>
      </c>
      <c r="C105" s="32"/>
      <c r="D105" s="32"/>
      <c r="E105" s="5"/>
      <c r="F105" s="6"/>
      <c r="G105" s="12"/>
      <c r="H105" s="13"/>
      <c r="I105" s="12"/>
      <c r="J105" s="13"/>
      <c r="K105" s="12"/>
      <c r="L105" s="13"/>
      <c r="M105" s="6"/>
      <c r="N105" s="6"/>
      <c r="O105" s="6"/>
      <c r="P105" s="6"/>
      <c r="Q105" s="14"/>
      <c r="R105" s="6"/>
      <c r="S105" s="6"/>
      <c r="T105" s="6"/>
      <c r="U105" s="6"/>
      <c r="V105" s="10"/>
      <c r="W105" s="6"/>
      <c r="X105" s="6"/>
      <c r="Y105" s="6"/>
      <c r="Z105" s="14"/>
      <c r="AA105" s="14"/>
    </row>
    <row r="106" spans="2:25" ht="15">
      <c r="B106" s="36" t="s">
        <v>25</v>
      </c>
      <c r="C106" s="32"/>
      <c r="D106" s="32"/>
      <c r="E106" s="5"/>
      <c r="F106" s="6"/>
      <c r="G106" s="12"/>
      <c r="H106" s="13"/>
      <c r="I106" s="12"/>
      <c r="J106" s="13"/>
      <c r="K106" s="12"/>
      <c r="L106" s="13"/>
      <c r="M106" s="6"/>
      <c r="N106" s="6"/>
      <c r="O106" s="6"/>
      <c r="P106" s="6"/>
      <c r="R106" s="6"/>
      <c r="S106" s="6"/>
      <c r="T106" s="6"/>
      <c r="U106" s="6"/>
      <c r="V106" s="10"/>
      <c r="W106" s="6"/>
      <c r="X106" s="6"/>
      <c r="Y106" s="6"/>
    </row>
    <row r="107" spans="2:25" ht="15">
      <c r="B107" s="52" t="s">
        <v>26</v>
      </c>
      <c r="C107" s="53"/>
      <c r="D107" s="53"/>
      <c r="E107" s="54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6"/>
      <c r="R107" s="6"/>
      <c r="S107" s="6"/>
      <c r="T107" s="6"/>
      <c r="U107" s="6"/>
      <c r="V107" s="6"/>
      <c r="W107" s="6"/>
      <c r="X107" s="6"/>
      <c r="Y107" s="6"/>
    </row>
    <row r="108" spans="6:25" ht="1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6"/>
      <c r="R108" s="6"/>
      <c r="S108" s="6"/>
      <c r="T108" s="6"/>
      <c r="U108" s="6"/>
      <c r="V108" s="6"/>
      <c r="W108" s="6"/>
      <c r="X108" s="6"/>
      <c r="Y108" s="6"/>
    </row>
    <row r="109" spans="6:25" ht="1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6"/>
      <c r="R109" s="6"/>
      <c r="S109" s="6"/>
      <c r="T109" s="6"/>
      <c r="U109" s="6"/>
      <c r="V109" s="6"/>
      <c r="W109" s="6"/>
      <c r="X109" s="6"/>
      <c r="Y109" s="6"/>
    </row>
    <row r="110" spans="6:25" ht="1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6"/>
      <c r="R110" s="6"/>
      <c r="S110" s="6"/>
      <c r="T110" s="6"/>
      <c r="U110" s="6"/>
      <c r="V110" s="6"/>
      <c r="W110" s="6"/>
      <c r="X110" s="6"/>
      <c r="Y110" s="6"/>
    </row>
    <row r="111" spans="7:25" ht="15">
      <c r="G111" s="29"/>
      <c r="H111" s="29"/>
      <c r="I111" s="29"/>
      <c r="J111" s="29"/>
      <c r="K111" s="29"/>
      <c r="L111" s="29"/>
      <c r="M111" s="29"/>
      <c r="N111" s="29"/>
      <c r="O111" s="29"/>
      <c r="P111" s="6"/>
      <c r="R111" s="6"/>
      <c r="S111" s="6"/>
      <c r="T111" s="6"/>
      <c r="U111" s="6"/>
      <c r="V111" s="6"/>
      <c r="W111" s="6"/>
      <c r="X111" s="6"/>
      <c r="Y111" s="6"/>
    </row>
    <row r="112" spans="18:25" ht="15">
      <c r="R112" s="6"/>
      <c r="S112" s="6"/>
      <c r="T112" s="6"/>
      <c r="U112" s="6"/>
      <c r="V112" s="6"/>
      <c r="W112" s="6"/>
      <c r="X112" s="6"/>
      <c r="Y112" s="6"/>
    </row>
    <row r="113" spans="22:25" ht="15">
      <c r="V113" s="6"/>
      <c r="W113" s="6"/>
      <c r="X113" s="6"/>
      <c r="Y113" s="6"/>
    </row>
    <row r="114" spans="22:25" ht="15">
      <c r="V114" s="6"/>
      <c r="W114" s="6"/>
      <c r="X114" s="6"/>
      <c r="Y114" s="6"/>
    </row>
  </sheetData>
  <sheetProtection/>
  <mergeCells count="1">
    <mergeCell ref="B107:E107"/>
  </mergeCells>
  <printOptions/>
  <pageMargins left="0.75" right="0.75" top="1" bottom="1" header="0.5" footer="0.5"/>
  <pageSetup horizontalDpi="600" verticalDpi="600" orientation="landscape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6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3.00390625" style="0" bestFit="1" customWidth="1"/>
    <col min="3" max="3" width="20.28125" style="0" bestFit="1" customWidth="1"/>
    <col min="6" max="6" width="11.00390625" style="0" bestFit="1" customWidth="1"/>
    <col min="8" max="8" width="11.00390625" style="0" bestFit="1" customWidth="1"/>
    <col min="10" max="10" width="11.00390625" style="0" bestFit="1" customWidth="1"/>
    <col min="12" max="12" width="14.00390625" style="0" bestFit="1" customWidth="1"/>
    <col min="13" max="13" width="11.140625" style="0" bestFit="1" customWidth="1"/>
    <col min="14" max="14" width="9.00390625" style="0" bestFit="1" customWidth="1"/>
    <col min="15" max="15" width="11.140625" style="0" bestFit="1" customWidth="1"/>
    <col min="16" max="16" width="10.140625" style="0" bestFit="1" customWidth="1"/>
    <col min="17" max="17" width="9.421875" style="0" bestFit="1" customWidth="1"/>
    <col min="18" max="18" width="21.8515625" style="0" bestFit="1" customWidth="1"/>
    <col min="19" max="19" width="6.140625" style="0" bestFit="1" customWidth="1"/>
    <col min="20" max="20" width="11.28125" style="0" bestFit="1" customWidth="1"/>
    <col min="21" max="21" width="11.57421875" style="0" bestFit="1" customWidth="1"/>
    <col min="22" max="22" width="20.28125" style="0" bestFit="1" customWidth="1"/>
    <col min="24" max="24" width="40.7109375" style="0" bestFit="1" customWidth="1"/>
  </cols>
  <sheetData>
    <row r="1" spans="1:24" s="4" customFormat="1" ht="63">
      <c r="A1" s="1">
        <v>40603</v>
      </c>
      <c r="B1" s="2" t="s">
        <v>0</v>
      </c>
      <c r="C1" s="2" t="s">
        <v>17</v>
      </c>
      <c r="D1" s="2" t="s">
        <v>21</v>
      </c>
      <c r="E1" s="3" t="s">
        <v>1</v>
      </c>
      <c r="F1" s="3" t="s">
        <v>15</v>
      </c>
      <c r="G1" s="3" t="s">
        <v>2</v>
      </c>
      <c r="H1" s="3" t="s">
        <v>16</v>
      </c>
      <c r="I1" s="3" t="s">
        <v>10</v>
      </c>
      <c r="J1" s="3" t="s">
        <v>18</v>
      </c>
      <c r="K1" s="3" t="s">
        <v>4</v>
      </c>
      <c r="L1" s="3" t="s">
        <v>14</v>
      </c>
      <c r="M1" s="3" t="s">
        <v>13</v>
      </c>
      <c r="N1" s="3" t="s">
        <v>11</v>
      </c>
      <c r="O1" s="3" t="s">
        <v>3</v>
      </c>
      <c r="P1" s="3" t="s">
        <v>22</v>
      </c>
      <c r="Q1" s="3" t="s">
        <v>20</v>
      </c>
      <c r="R1" s="3" t="s">
        <v>19</v>
      </c>
      <c r="S1" s="3" t="s">
        <v>5</v>
      </c>
      <c r="T1" s="3" t="s">
        <v>6</v>
      </c>
      <c r="U1" s="3" t="s">
        <v>7</v>
      </c>
      <c r="V1" s="3" t="s">
        <v>8</v>
      </c>
      <c r="W1" s="3" t="s">
        <v>12</v>
      </c>
      <c r="X1" s="3" t="s">
        <v>9</v>
      </c>
    </row>
    <row r="2" spans="2:24" s="4" customFormat="1" ht="15">
      <c r="B2" s="5"/>
      <c r="C2" s="5"/>
      <c r="D2" s="6"/>
      <c r="E2" s="7"/>
      <c r="F2" s="8"/>
      <c r="G2" s="7"/>
      <c r="H2" s="8"/>
      <c r="I2" s="7"/>
      <c r="J2" s="8"/>
      <c r="K2" s="9"/>
      <c r="L2" s="7"/>
      <c r="M2" s="7"/>
      <c r="N2" s="9"/>
      <c r="O2" s="10"/>
      <c r="P2" s="10"/>
      <c r="Q2" s="10"/>
      <c r="R2" s="10"/>
      <c r="S2" s="10"/>
      <c r="T2" s="10"/>
      <c r="U2" s="10"/>
      <c r="V2" s="10"/>
      <c r="W2" s="10"/>
      <c r="X2" s="11"/>
    </row>
    <row r="3" spans="2:24" s="4" customFormat="1" ht="15">
      <c r="B3" s="5"/>
      <c r="C3" s="5"/>
      <c r="D3" s="6"/>
      <c r="E3" s="7"/>
      <c r="F3" s="8"/>
      <c r="G3" s="7"/>
      <c r="H3" s="8"/>
      <c r="I3" s="7"/>
      <c r="J3" s="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2:24" s="4" customFormat="1" ht="15">
      <c r="B4" s="5"/>
      <c r="C4" s="5"/>
      <c r="D4" s="6"/>
      <c r="E4" s="7"/>
      <c r="F4" s="8"/>
      <c r="G4" s="7"/>
      <c r="H4" s="8"/>
      <c r="I4" s="7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</row>
    <row r="5" spans="2:24" s="4" customFormat="1" ht="15">
      <c r="B5" s="5"/>
      <c r="C5" s="5"/>
      <c r="D5" s="6"/>
      <c r="E5" s="7"/>
      <c r="F5" s="8"/>
      <c r="G5" s="7"/>
      <c r="H5" s="8"/>
      <c r="I5" s="7"/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2:24" s="4" customFormat="1" ht="15">
      <c r="B6" s="5"/>
      <c r="C6" s="5"/>
      <c r="D6" s="6"/>
      <c r="E6" s="7"/>
      <c r="F6" s="8"/>
      <c r="G6" s="7"/>
      <c r="H6" s="8"/>
      <c r="I6" s="7"/>
      <c r="J6" s="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</row>
    <row r="7" spans="2:24" s="4" customFormat="1" ht="15">
      <c r="B7" s="5"/>
      <c r="C7" s="5"/>
      <c r="D7" s="6"/>
      <c r="E7" s="12"/>
      <c r="F7" s="13"/>
      <c r="G7" s="12"/>
      <c r="H7" s="13"/>
      <c r="I7" s="12"/>
      <c r="J7" s="13"/>
      <c r="K7" s="6"/>
      <c r="L7" s="6"/>
      <c r="M7" s="6"/>
      <c r="N7" s="6"/>
      <c r="O7" s="6"/>
      <c r="P7" s="6"/>
      <c r="Q7" s="6"/>
      <c r="R7" s="6"/>
      <c r="S7" s="6"/>
      <c r="T7" s="6"/>
      <c r="U7" s="10"/>
      <c r="V7" s="6"/>
      <c r="W7" s="6"/>
      <c r="X7" s="15"/>
    </row>
    <row r="8" spans="2:24" s="4" customFormat="1" ht="15">
      <c r="B8" s="5"/>
      <c r="C8" s="5"/>
      <c r="D8" s="6"/>
      <c r="E8" s="12"/>
      <c r="F8" s="13"/>
      <c r="G8" s="12"/>
      <c r="H8" s="13"/>
      <c r="I8" s="12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6"/>
      <c r="W8" s="6"/>
      <c r="X8" s="5"/>
    </row>
    <row r="9" spans="2:24" s="4" customFormat="1" ht="15">
      <c r="B9" s="5"/>
      <c r="C9" s="5"/>
      <c r="D9" s="6"/>
      <c r="E9" s="12"/>
      <c r="F9" s="13"/>
      <c r="G9" s="12"/>
      <c r="H9" s="13"/>
      <c r="I9" s="12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10"/>
      <c r="V9" s="6"/>
      <c r="W9" s="6"/>
      <c r="X9" s="5"/>
    </row>
    <row r="10" spans="2:24" s="4" customFormat="1" ht="15">
      <c r="B10" s="5"/>
      <c r="C10" s="5"/>
      <c r="D10" s="6"/>
      <c r="E10" s="12"/>
      <c r="F10" s="13"/>
      <c r="G10" s="12"/>
      <c r="H10" s="13"/>
      <c r="I10" s="12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  <c r="V10" s="6"/>
      <c r="W10" s="6"/>
      <c r="X10" s="5"/>
    </row>
    <row r="11" spans="1:24" s="4" customFormat="1" ht="15">
      <c r="A11" s="14"/>
      <c r="B11" s="5"/>
      <c r="C11" s="5"/>
      <c r="D11" s="6"/>
      <c r="E11" s="12"/>
      <c r="F11" s="13"/>
      <c r="G11" s="12"/>
      <c r="H11" s="13"/>
      <c r="I11" s="12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  <c r="V11" s="6"/>
      <c r="W11" s="6"/>
      <c r="X11" s="5"/>
    </row>
    <row r="12" spans="1:24" s="4" customFormat="1" ht="15">
      <c r="A12" s="14"/>
      <c r="B12" s="5"/>
      <c r="C12" s="5"/>
      <c r="D12" s="6"/>
      <c r="E12" s="12"/>
      <c r="F12" s="13"/>
      <c r="G12" s="12"/>
      <c r="H12" s="13"/>
      <c r="I12" s="12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  <c r="V12" s="6"/>
      <c r="W12" s="6"/>
      <c r="X12" s="5"/>
    </row>
    <row r="13" spans="1:24" s="4" customFormat="1" ht="15">
      <c r="A13" s="14"/>
      <c r="B13" s="5"/>
      <c r="C13" s="5"/>
      <c r="D13" s="6"/>
      <c r="E13" s="12"/>
      <c r="F13" s="13"/>
      <c r="G13" s="12"/>
      <c r="H13" s="13"/>
      <c r="I13" s="12"/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  <c r="V13" s="6"/>
      <c r="W13" s="6"/>
      <c r="X13" s="5"/>
    </row>
    <row r="14" spans="1:24" s="4" customFormat="1" ht="15">
      <c r="A14" s="14"/>
      <c r="B14" s="5"/>
      <c r="C14" s="5"/>
      <c r="D14" s="6"/>
      <c r="E14" s="12"/>
      <c r="F14" s="13"/>
      <c r="G14" s="12"/>
      <c r="H14" s="13"/>
      <c r="I14" s="12"/>
      <c r="J14" s="13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  <c r="V14" s="6"/>
      <c r="W14" s="6"/>
      <c r="X14" s="5"/>
    </row>
    <row r="15" spans="1:24" s="4" customFormat="1" ht="15">
      <c r="A15" s="14"/>
      <c r="B15" s="5"/>
      <c r="C15" s="5"/>
      <c r="D15" s="6"/>
      <c r="E15" s="12"/>
      <c r="F15" s="13"/>
      <c r="G15" s="12"/>
      <c r="H15" s="13"/>
      <c r="I15" s="12"/>
      <c r="J15" s="13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  <c r="V15" s="6"/>
      <c r="W15" s="6"/>
      <c r="X15" s="5"/>
    </row>
    <row r="16" spans="1:24" s="4" customFormat="1" ht="15">
      <c r="A16" s="14"/>
      <c r="B16" s="5"/>
      <c r="C16" s="5"/>
      <c r="D16" s="6"/>
      <c r="E16" s="12"/>
      <c r="F16" s="13"/>
      <c r="G16" s="12"/>
      <c r="H16" s="13"/>
      <c r="I16" s="12"/>
      <c r="J16" s="13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  <c r="V16" s="6"/>
      <c r="W16" s="6"/>
      <c r="X16" s="5"/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14"/>
  <sheetViews>
    <sheetView zoomScalePageLayoutView="0" workbookViewId="0" topLeftCell="A1">
      <selection activeCell="DF14" sqref="DF14"/>
    </sheetView>
  </sheetViews>
  <sheetFormatPr defaultColWidth="9.140625" defaultRowHeight="12.75"/>
  <sheetData>
    <row r="1" spans="1:256" ht="12.75">
      <c r="A1">
        <f>IF(Sheet4!1:1,"AAAAAGX9wQA=",0)</f>
        <v>0</v>
      </c>
      <c r="B1" t="e">
        <f>AND(Sheet4!A1,"AAAAAGX9wQE=")</f>
        <v>#VALUE!</v>
      </c>
      <c r="C1" t="e">
        <f>AND(Sheet4!B1,"AAAAAGX9wQI=")</f>
        <v>#VALUE!</v>
      </c>
      <c r="D1" t="e">
        <f>AND(Sheet4!C1,"AAAAAGX9wQM=")</f>
        <v>#VALUE!</v>
      </c>
      <c r="E1" t="e">
        <f>AND(Sheet4!D1,"AAAAAGX9wQQ=")</f>
        <v>#VALUE!</v>
      </c>
      <c r="F1" t="e">
        <f>AND(Sheet4!E1,"AAAAAGX9wQU=")</f>
        <v>#VALUE!</v>
      </c>
      <c r="G1" t="e">
        <f>AND(Sheet4!F1,"AAAAAGX9wQY=")</f>
        <v>#VALUE!</v>
      </c>
      <c r="H1" t="e">
        <f>AND(Sheet4!G1,"AAAAAGX9wQc=")</f>
        <v>#VALUE!</v>
      </c>
      <c r="I1">
        <f>IF(Sheet4!2:2,"AAAAAGX9wQg=",0)</f>
        <v>0</v>
      </c>
      <c r="J1" t="e">
        <f>AND(Sheet4!A2,"AAAAAGX9wQk=")</f>
        <v>#VALUE!</v>
      </c>
      <c r="K1" t="e">
        <f>AND(Sheet4!B2,"AAAAAGX9wQo=")</f>
        <v>#VALUE!</v>
      </c>
      <c r="L1" t="e">
        <f>AND(Sheet4!C2,"AAAAAGX9wQs=")</f>
        <v>#VALUE!</v>
      </c>
      <c r="M1" t="e">
        <f>AND(Sheet4!D2,"AAAAAGX9wQw=")</f>
        <v>#VALUE!</v>
      </c>
      <c r="N1" t="e">
        <f>AND(Sheet4!E2,"AAAAAGX9wQ0=")</f>
        <v>#VALUE!</v>
      </c>
      <c r="O1" t="e">
        <f>AND(Sheet4!F2,"AAAAAGX9wQ4=")</f>
        <v>#VALUE!</v>
      </c>
      <c r="P1" t="e">
        <f>AND(Sheet4!G2,"AAAAAGX9wQ8=")</f>
        <v>#VALUE!</v>
      </c>
      <c r="Q1">
        <f>IF(Sheet4!3:3,"AAAAAGX9wRA=",0)</f>
        <v>0</v>
      </c>
      <c r="R1">
        <f>IF(Sheet4!4:4,"AAAAAGX9wRE=",0)</f>
        <v>0</v>
      </c>
      <c r="S1">
        <f>IF(Sheet4!5:5,"AAAAAGX9wRI=",0)</f>
        <v>0</v>
      </c>
      <c r="T1">
        <f>IF(Sheet4!6:6,"AAAAAGX9wRM=",0)</f>
        <v>0</v>
      </c>
      <c r="U1">
        <f>IF(Sheet4!7:7,"AAAAAGX9wRQ=",0)</f>
        <v>0</v>
      </c>
      <c r="V1">
        <f>IF(Sheet4!8:8,"AAAAAGX9wRU=",0)</f>
        <v>0</v>
      </c>
      <c r="W1">
        <f>IF(Sheet4!9:9,"AAAAAGX9wRY=",0)</f>
        <v>0</v>
      </c>
      <c r="X1">
        <f>IF(Sheet4!10:10,"AAAAAGX9wRc=",0)</f>
        <v>0</v>
      </c>
      <c r="Y1">
        <f>IF(Sheet4!11:11,"AAAAAGX9wRg=",0)</f>
        <v>0</v>
      </c>
      <c r="Z1">
        <f>IF(Sheet4!12:12,"AAAAAGX9wRk=",0)</f>
        <v>0</v>
      </c>
      <c r="AA1">
        <f>IF(Sheet4!13:13,"AAAAAGX9wRo=",0)</f>
        <v>0</v>
      </c>
      <c r="AB1">
        <f>IF(Sheet4!14:14,"AAAAAGX9wRs=",0)</f>
        <v>0</v>
      </c>
      <c r="AC1">
        <f>IF(Sheet4!15:15,"AAAAAGX9wRw=",0)</f>
        <v>0</v>
      </c>
      <c r="AD1">
        <f>IF(Sheet4!16:16,"AAAAAGX9wR0=",0)</f>
        <v>0</v>
      </c>
      <c r="AE1">
        <f>IF(Sheet4!A:A,"AAAAAGX9wR4=",0)</f>
        <v>0</v>
      </c>
      <c r="AF1">
        <f>IF(Sheet4!B:B,"AAAAAGX9wR8=",0)</f>
        <v>0</v>
      </c>
      <c r="AG1">
        <f>IF(Sheet4!C:C,"AAAAAGX9wSA=",0)</f>
        <v>0</v>
      </c>
      <c r="AH1">
        <f>IF(Sheet4!D:D,"AAAAAGX9wSE=",0)</f>
        <v>0</v>
      </c>
      <c r="AI1">
        <f>IF(Sheet4!E:E,"AAAAAGX9wSI=",0)</f>
        <v>0</v>
      </c>
      <c r="AJ1">
        <f>IF(Sheet4!F:F,"AAAAAGX9wSM=",0)</f>
        <v>0</v>
      </c>
      <c r="AK1">
        <f>IF(Sheet4!G:G,"AAAAAGX9wSQ=",0)</f>
        <v>0</v>
      </c>
      <c r="AL1" t="e">
        <f>AND(GETPIVOTDATA("",Sheet4!A3),"AAAAAGX9wSU=")</f>
        <v>#REF!</v>
      </c>
      <c r="AM1" t="e">
        <f>AND(Sheet4!A3,"AAAAAGX9wSY=")</f>
        <v>#VALUE!</v>
      </c>
      <c r="AN1">
        <f>IF(Sheet1!1:1,"AAAAAGX9wSc=",0)</f>
        <v>0</v>
      </c>
      <c r="AO1" t="e">
        <f>AND(Sheet1!A1,"AAAAAGX9wSg=")</f>
        <v>#VALUE!</v>
      </c>
      <c r="AP1" t="e">
        <f>AND(Sheet1!B1,"AAAAAGX9wSk=")</f>
        <v>#VALUE!</v>
      </c>
      <c r="AQ1" t="e">
        <f>AND(Sheet1!C1,"AAAAAGX9wSo=")</f>
        <v>#VALUE!</v>
      </c>
      <c r="AR1" t="e">
        <f>AND(Sheet1!D1,"AAAAAGX9wSs=")</f>
        <v>#VALUE!</v>
      </c>
      <c r="AS1" t="e">
        <f>AND(Sheet1!E1,"AAAAAGX9wSw=")</f>
        <v>#VALUE!</v>
      </c>
      <c r="AT1" t="e">
        <f>AND(Sheet1!F1,"AAAAAGX9wS0=")</f>
        <v>#VALUE!</v>
      </c>
      <c r="AU1" t="e">
        <f>AND(Sheet1!G1,"AAAAAGX9wS4=")</f>
        <v>#VALUE!</v>
      </c>
      <c r="AV1" t="e">
        <f>AND(Sheet1!H1,"AAAAAGX9wS8=")</f>
        <v>#VALUE!</v>
      </c>
      <c r="AW1" t="e">
        <f>AND(Sheet1!I1,"AAAAAGX9wTA=")</f>
        <v>#VALUE!</v>
      </c>
      <c r="AX1" t="e">
        <f>AND(Sheet1!J1,"AAAAAGX9wTE=")</f>
        <v>#VALUE!</v>
      </c>
      <c r="AY1" t="e">
        <f>AND(Sheet1!K1,"AAAAAGX9wTI=")</f>
        <v>#VALUE!</v>
      </c>
      <c r="AZ1" t="e">
        <f>AND(Sheet1!L1,"AAAAAGX9wTM=")</f>
        <v>#VALUE!</v>
      </c>
      <c r="BA1" t="e">
        <f>AND(Sheet1!M1,"AAAAAGX9wTQ=")</f>
        <v>#VALUE!</v>
      </c>
      <c r="BB1" t="e">
        <f>AND(Sheet1!N1,"AAAAAGX9wTU=")</f>
        <v>#VALUE!</v>
      </c>
      <c r="BC1" t="e">
        <f>AND(Sheet1!O1,"AAAAAGX9wTY=")</f>
        <v>#VALUE!</v>
      </c>
      <c r="BD1" t="e">
        <f>AND(Sheet1!P1,"AAAAAGX9wTc=")</f>
        <v>#VALUE!</v>
      </c>
      <c r="BE1" t="e">
        <f>AND(Sheet1!Q1,"AAAAAGX9wTg=")</f>
        <v>#VALUE!</v>
      </c>
      <c r="BF1" t="e">
        <f>AND(Sheet1!R1,"AAAAAGX9wTk=")</f>
        <v>#VALUE!</v>
      </c>
      <c r="BG1" t="e">
        <f>AND(Sheet1!S1,"AAAAAGX9wTo=")</f>
        <v>#VALUE!</v>
      </c>
      <c r="BH1" t="e">
        <f>AND(Sheet1!T1,"AAAAAGX9wTs=")</f>
        <v>#VALUE!</v>
      </c>
      <c r="BI1" t="e">
        <f>AND(Sheet1!U1,"AAAAAGX9wTw=")</f>
        <v>#VALUE!</v>
      </c>
      <c r="BJ1" t="e">
        <f>AND(Sheet1!V1,"AAAAAGX9wT0=")</f>
        <v>#VALUE!</v>
      </c>
      <c r="BK1" t="e">
        <f>AND(Sheet1!W1,"AAAAAGX9wT4=")</f>
        <v>#VALUE!</v>
      </c>
      <c r="BL1" t="e">
        <f>AND(Sheet1!X1,"AAAAAGX9wT8=")</f>
        <v>#VALUE!</v>
      </c>
      <c r="BM1" t="e">
        <f>AND(Sheet1!Y1,"AAAAAGX9wUA=")</f>
        <v>#VALUE!</v>
      </c>
      <c r="BN1" t="e">
        <f>AND(Sheet1!Z1,"AAAAAGX9wUE=")</f>
        <v>#VALUE!</v>
      </c>
      <c r="BO1" t="e">
        <f>AND(Sheet1!AA1,"AAAAAGX9wUI=")</f>
        <v>#VALUE!</v>
      </c>
      <c r="BP1" t="e">
        <f>AND(Sheet1!AB1,"AAAAAGX9wUM=")</f>
        <v>#VALUE!</v>
      </c>
      <c r="BQ1">
        <f>IF(Sheet1!2:2,"AAAAAGX9wUQ=",0)</f>
        <v>0</v>
      </c>
      <c r="BR1" t="e">
        <f>AND(Sheet1!A2,"AAAAAGX9wUU=")</f>
        <v>#VALUE!</v>
      </c>
      <c r="BS1" t="e">
        <f>AND(Sheet1!B2,"AAAAAGX9wUY=")</f>
        <v>#VALUE!</v>
      </c>
      <c r="BT1" t="e">
        <f>AND(Sheet1!C2,"AAAAAGX9wUc=")</f>
        <v>#VALUE!</v>
      </c>
      <c r="BU1" t="e">
        <f>AND(Sheet1!D2,"AAAAAGX9wUg=")</f>
        <v>#VALUE!</v>
      </c>
      <c r="BV1" t="e">
        <f>AND(Sheet1!E2,"AAAAAGX9wUk=")</f>
        <v>#VALUE!</v>
      </c>
      <c r="BW1" t="e">
        <f>AND(Sheet1!F2,"AAAAAGX9wUo=")</f>
        <v>#VALUE!</v>
      </c>
      <c r="BX1" t="e">
        <f>AND(Sheet1!G2,"AAAAAGX9wUs=")</f>
        <v>#VALUE!</v>
      </c>
      <c r="BY1" t="e">
        <f>AND(Sheet1!H2,"AAAAAGX9wUw=")</f>
        <v>#VALUE!</v>
      </c>
      <c r="BZ1" t="e">
        <f>AND(Sheet1!I2,"AAAAAGX9wU0=")</f>
        <v>#VALUE!</v>
      </c>
      <c r="CA1" t="e">
        <f>AND(Sheet1!J2,"AAAAAGX9wU4=")</f>
        <v>#VALUE!</v>
      </c>
      <c r="CB1" t="e">
        <f>AND(Sheet1!K2,"AAAAAGX9wU8=")</f>
        <v>#VALUE!</v>
      </c>
      <c r="CC1" t="e">
        <f>AND(Sheet1!L2,"AAAAAGX9wVA=")</f>
        <v>#VALUE!</v>
      </c>
      <c r="CD1" t="e">
        <f>AND(Sheet1!M2,"AAAAAGX9wVE=")</f>
        <v>#VALUE!</v>
      </c>
      <c r="CE1" t="e">
        <f>AND(Sheet1!N2,"AAAAAGX9wVI=")</f>
        <v>#VALUE!</v>
      </c>
      <c r="CF1" t="e">
        <f>AND(Sheet1!O2,"AAAAAGX9wVM=")</f>
        <v>#VALUE!</v>
      </c>
      <c r="CG1" t="e">
        <f>AND(Sheet1!P2,"AAAAAGX9wVQ=")</f>
        <v>#VALUE!</v>
      </c>
      <c r="CH1" t="e">
        <f>AND(Sheet1!Q2,"AAAAAGX9wVU=")</f>
        <v>#VALUE!</v>
      </c>
      <c r="CI1" t="e">
        <f>AND(Sheet1!R2,"AAAAAGX9wVY=")</f>
        <v>#VALUE!</v>
      </c>
      <c r="CJ1" t="e">
        <f>AND(Sheet1!S2,"AAAAAGX9wVc=")</f>
        <v>#VALUE!</v>
      </c>
      <c r="CK1" t="e">
        <f>AND(Sheet1!T2,"AAAAAGX9wVg=")</f>
        <v>#VALUE!</v>
      </c>
      <c r="CL1" t="e">
        <f>AND(Sheet1!U2,"AAAAAGX9wVk=")</f>
        <v>#VALUE!</v>
      </c>
      <c r="CM1" t="e">
        <f>AND(Sheet1!V2,"AAAAAGX9wVo=")</f>
        <v>#VALUE!</v>
      </c>
      <c r="CN1" t="e">
        <f>AND(Sheet1!W2,"AAAAAGX9wVs=")</f>
        <v>#VALUE!</v>
      </c>
      <c r="CO1" t="e">
        <f>AND(Sheet1!X2,"AAAAAGX9wVw=")</f>
        <v>#VALUE!</v>
      </c>
      <c r="CP1" t="e">
        <f>AND(Sheet1!Y2,"AAAAAGX9wV0=")</f>
        <v>#VALUE!</v>
      </c>
      <c r="CQ1" t="e">
        <f>AND(Sheet1!Z2,"AAAAAGX9wV4=")</f>
        <v>#VALUE!</v>
      </c>
      <c r="CR1" t="e">
        <f>AND(Sheet1!AA2,"AAAAAGX9wV8=")</f>
        <v>#VALUE!</v>
      </c>
      <c r="CS1" t="e">
        <f>AND(Sheet1!AB2,"AAAAAGX9wWA=")</f>
        <v>#VALUE!</v>
      </c>
      <c r="CT1">
        <f>IF(Sheet1!3:3,"AAAAAGX9wWE=",0)</f>
        <v>0</v>
      </c>
      <c r="CU1" t="e">
        <f>AND(Sheet1!A3,"AAAAAGX9wWI=")</f>
        <v>#VALUE!</v>
      </c>
      <c r="CV1" t="e">
        <f>AND(Sheet1!B3,"AAAAAGX9wWM=")</f>
        <v>#VALUE!</v>
      </c>
      <c r="CW1" t="e">
        <f>AND(Sheet1!C3,"AAAAAGX9wWQ=")</f>
        <v>#VALUE!</v>
      </c>
      <c r="CX1" t="e">
        <f>AND(Sheet1!D3,"AAAAAGX9wWU=")</f>
        <v>#VALUE!</v>
      </c>
      <c r="CY1" t="e">
        <f>AND(Sheet1!E3,"AAAAAGX9wWY=")</f>
        <v>#VALUE!</v>
      </c>
      <c r="CZ1" t="e">
        <f>AND(Sheet1!F3,"AAAAAGX9wWc=")</f>
        <v>#VALUE!</v>
      </c>
      <c r="DA1" t="e">
        <f>AND(Sheet1!G3,"AAAAAGX9wWg=")</f>
        <v>#VALUE!</v>
      </c>
      <c r="DB1" t="e">
        <f>AND(Sheet1!H3,"AAAAAGX9wWk=")</f>
        <v>#VALUE!</v>
      </c>
      <c r="DC1" t="e">
        <f>AND(Sheet1!I3,"AAAAAGX9wWo=")</f>
        <v>#VALUE!</v>
      </c>
      <c r="DD1" t="e">
        <f>AND(Sheet1!J3,"AAAAAGX9wWs=")</f>
        <v>#VALUE!</v>
      </c>
      <c r="DE1" t="e">
        <f>AND(Sheet1!K3,"AAAAAGX9wWw=")</f>
        <v>#VALUE!</v>
      </c>
      <c r="DF1" t="e">
        <f>AND(Sheet1!L3,"AAAAAGX9wW0=")</f>
        <v>#VALUE!</v>
      </c>
      <c r="DG1" t="e">
        <f>AND(Sheet1!M3,"AAAAAGX9wW4=")</f>
        <v>#VALUE!</v>
      </c>
      <c r="DH1" t="e">
        <f>AND(Sheet1!N3,"AAAAAGX9wW8=")</f>
        <v>#VALUE!</v>
      </c>
      <c r="DI1" t="e">
        <f>AND(Sheet1!O3,"AAAAAGX9wXA=")</f>
        <v>#VALUE!</v>
      </c>
      <c r="DJ1" t="e">
        <f>AND(Sheet1!P3,"AAAAAGX9wXE=")</f>
        <v>#VALUE!</v>
      </c>
      <c r="DK1" t="e">
        <f>AND(Sheet1!Q3,"AAAAAGX9wXI=")</f>
        <v>#VALUE!</v>
      </c>
      <c r="DL1" t="e">
        <f>AND(Sheet1!R3,"AAAAAGX9wXM=")</f>
        <v>#VALUE!</v>
      </c>
      <c r="DM1" t="e">
        <f>AND(Sheet1!S3,"AAAAAGX9wXQ=")</f>
        <v>#VALUE!</v>
      </c>
      <c r="DN1" t="e">
        <f>AND(Sheet1!T3,"AAAAAGX9wXU=")</f>
        <v>#VALUE!</v>
      </c>
      <c r="DO1" t="e">
        <f>AND(Sheet1!U3,"AAAAAGX9wXY=")</f>
        <v>#VALUE!</v>
      </c>
      <c r="DP1" t="e">
        <f>AND(Sheet1!V3,"AAAAAGX9wXc=")</f>
        <v>#VALUE!</v>
      </c>
      <c r="DQ1" t="e">
        <f>AND(Sheet1!W3,"AAAAAGX9wXg=")</f>
        <v>#VALUE!</v>
      </c>
      <c r="DR1" t="e">
        <f>AND(Sheet1!X3,"AAAAAGX9wXk=")</f>
        <v>#VALUE!</v>
      </c>
      <c r="DS1" t="e">
        <f>AND(Sheet1!Y3,"AAAAAGX9wXo=")</f>
        <v>#VALUE!</v>
      </c>
      <c r="DT1" t="e">
        <f>AND(Sheet1!Z3,"AAAAAGX9wXs=")</f>
        <v>#VALUE!</v>
      </c>
      <c r="DU1" t="e">
        <f>AND(Sheet1!AA3,"AAAAAGX9wXw=")</f>
        <v>#VALUE!</v>
      </c>
      <c r="DV1" t="e">
        <f>AND(Sheet1!AB3,"AAAAAGX9wX0=")</f>
        <v>#VALUE!</v>
      </c>
      <c r="DW1">
        <f>IF(Sheet1!4:4,"AAAAAGX9wX4=",0)</f>
        <v>0</v>
      </c>
      <c r="DX1" t="e">
        <f>AND(Sheet1!A4,"AAAAAGX9wX8=")</f>
        <v>#VALUE!</v>
      </c>
      <c r="DY1" t="e">
        <f>AND(Sheet1!B4,"AAAAAGX9wYA=")</f>
        <v>#VALUE!</v>
      </c>
      <c r="DZ1" t="e">
        <f>AND(Sheet1!C4,"AAAAAGX9wYE=")</f>
        <v>#VALUE!</v>
      </c>
      <c r="EA1" t="e">
        <f>AND(Sheet1!D4,"AAAAAGX9wYI=")</f>
        <v>#VALUE!</v>
      </c>
      <c r="EB1" t="e">
        <f>AND(Sheet1!E4,"AAAAAGX9wYM=")</f>
        <v>#VALUE!</v>
      </c>
      <c r="EC1" t="e">
        <f>AND(Sheet1!F4,"AAAAAGX9wYQ=")</f>
        <v>#VALUE!</v>
      </c>
      <c r="ED1" t="e">
        <f>AND(Sheet1!G4,"AAAAAGX9wYU=")</f>
        <v>#VALUE!</v>
      </c>
      <c r="EE1" t="e">
        <f>AND(Sheet1!H4,"AAAAAGX9wYY=")</f>
        <v>#VALUE!</v>
      </c>
      <c r="EF1" t="e">
        <f>AND(Sheet1!I4,"AAAAAGX9wYc=")</f>
        <v>#VALUE!</v>
      </c>
      <c r="EG1" t="e">
        <f>AND(Sheet1!J4,"AAAAAGX9wYg=")</f>
        <v>#VALUE!</v>
      </c>
      <c r="EH1" t="e">
        <f>AND(Sheet1!K4,"AAAAAGX9wYk=")</f>
        <v>#VALUE!</v>
      </c>
      <c r="EI1" t="e">
        <f>AND(Sheet1!L4,"AAAAAGX9wYo=")</f>
        <v>#VALUE!</v>
      </c>
      <c r="EJ1" t="e">
        <f>AND(Sheet1!M4,"AAAAAGX9wYs=")</f>
        <v>#VALUE!</v>
      </c>
      <c r="EK1" t="e">
        <f>AND(Sheet1!N4,"AAAAAGX9wYw=")</f>
        <v>#VALUE!</v>
      </c>
      <c r="EL1" t="e">
        <f>AND(Sheet1!O4,"AAAAAGX9wY0=")</f>
        <v>#VALUE!</v>
      </c>
      <c r="EM1" t="e">
        <f>AND(Sheet1!P4,"AAAAAGX9wY4=")</f>
        <v>#VALUE!</v>
      </c>
      <c r="EN1" t="e">
        <f>AND(Sheet1!Q4,"AAAAAGX9wY8=")</f>
        <v>#VALUE!</v>
      </c>
      <c r="EO1" t="e">
        <f>AND(Sheet1!R4,"AAAAAGX9wZA=")</f>
        <v>#VALUE!</v>
      </c>
      <c r="EP1" t="e">
        <f>AND(Sheet1!S4,"AAAAAGX9wZE=")</f>
        <v>#VALUE!</v>
      </c>
      <c r="EQ1" t="e">
        <f>AND(Sheet1!T4,"AAAAAGX9wZI=")</f>
        <v>#VALUE!</v>
      </c>
      <c r="ER1" t="e">
        <f>AND(Sheet1!U4,"AAAAAGX9wZM=")</f>
        <v>#VALUE!</v>
      </c>
      <c r="ES1" t="e">
        <f>AND(Sheet1!V4,"AAAAAGX9wZQ=")</f>
        <v>#VALUE!</v>
      </c>
      <c r="ET1" t="e">
        <f>AND(Sheet1!W4,"AAAAAGX9wZU=")</f>
        <v>#VALUE!</v>
      </c>
      <c r="EU1" t="e">
        <f>AND(Sheet1!X4,"AAAAAGX9wZY=")</f>
        <v>#VALUE!</v>
      </c>
      <c r="EV1" t="e">
        <f>AND(Sheet1!Y4,"AAAAAGX9wZc=")</f>
        <v>#VALUE!</v>
      </c>
      <c r="EW1" t="e">
        <f>AND(Sheet1!Z4,"AAAAAGX9wZg=")</f>
        <v>#VALUE!</v>
      </c>
      <c r="EX1" t="e">
        <f>AND(Sheet1!AA4,"AAAAAGX9wZk=")</f>
        <v>#VALUE!</v>
      </c>
      <c r="EY1" t="e">
        <f>AND(Sheet1!AB4,"AAAAAGX9wZo=")</f>
        <v>#VALUE!</v>
      </c>
      <c r="EZ1">
        <f>IF(Sheet1!5:5,"AAAAAGX9wZs=",0)</f>
        <v>0</v>
      </c>
      <c r="FA1" t="e">
        <f>AND(Sheet1!A5,"AAAAAGX9wZw=")</f>
        <v>#VALUE!</v>
      </c>
      <c r="FB1" t="e">
        <f>AND(Sheet1!B5,"AAAAAGX9wZ0=")</f>
        <v>#VALUE!</v>
      </c>
      <c r="FC1" t="e">
        <f>AND(Sheet1!C5,"AAAAAGX9wZ4=")</f>
        <v>#VALUE!</v>
      </c>
      <c r="FD1" t="e">
        <f>AND(Sheet1!D5,"AAAAAGX9wZ8=")</f>
        <v>#VALUE!</v>
      </c>
      <c r="FE1" t="e">
        <f>AND(Sheet1!E5,"AAAAAGX9waA=")</f>
        <v>#VALUE!</v>
      </c>
      <c r="FF1" t="e">
        <f>AND(Sheet1!F5,"AAAAAGX9waE=")</f>
        <v>#VALUE!</v>
      </c>
      <c r="FG1" t="e">
        <f>AND(Sheet1!G5,"AAAAAGX9waI=")</f>
        <v>#VALUE!</v>
      </c>
      <c r="FH1" t="e">
        <f>AND(Sheet1!H5,"AAAAAGX9waM=")</f>
        <v>#VALUE!</v>
      </c>
      <c r="FI1" t="e">
        <f>AND(Sheet1!I5,"AAAAAGX9waQ=")</f>
        <v>#VALUE!</v>
      </c>
      <c r="FJ1" t="e">
        <f>AND(Sheet1!J5,"AAAAAGX9waU=")</f>
        <v>#VALUE!</v>
      </c>
      <c r="FK1" t="e">
        <f>AND(Sheet1!K5,"AAAAAGX9waY=")</f>
        <v>#VALUE!</v>
      </c>
      <c r="FL1" t="e">
        <f>AND(Sheet1!L5,"AAAAAGX9wac=")</f>
        <v>#VALUE!</v>
      </c>
      <c r="FM1" t="e">
        <f>AND(Sheet1!M5,"AAAAAGX9wag=")</f>
        <v>#VALUE!</v>
      </c>
      <c r="FN1" t="e">
        <f>AND(Sheet1!N5,"AAAAAGX9wak=")</f>
        <v>#VALUE!</v>
      </c>
      <c r="FO1" t="e">
        <f>AND(Sheet1!O5,"AAAAAGX9wao=")</f>
        <v>#VALUE!</v>
      </c>
      <c r="FP1" t="e">
        <f>AND(Sheet1!P5,"AAAAAGX9was=")</f>
        <v>#VALUE!</v>
      </c>
      <c r="FQ1" t="e">
        <f>AND(Sheet1!Q5,"AAAAAGX9waw=")</f>
        <v>#VALUE!</v>
      </c>
      <c r="FR1" t="e">
        <f>AND(Sheet1!R5,"AAAAAGX9wa0=")</f>
        <v>#VALUE!</v>
      </c>
      <c r="FS1" t="e">
        <f>AND(Sheet1!S5,"AAAAAGX9wa4=")</f>
        <v>#VALUE!</v>
      </c>
      <c r="FT1" t="e">
        <f>AND(Sheet1!T5,"AAAAAGX9wa8=")</f>
        <v>#VALUE!</v>
      </c>
      <c r="FU1" t="e">
        <f>AND(Sheet1!U5,"AAAAAGX9wbA=")</f>
        <v>#VALUE!</v>
      </c>
      <c r="FV1" t="e">
        <f>AND(Sheet1!V5,"AAAAAGX9wbE=")</f>
        <v>#VALUE!</v>
      </c>
      <c r="FW1" t="e">
        <f>AND(Sheet1!W5,"AAAAAGX9wbI=")</f>
        <v>#VALUE!</v>
      </c>
      <c r="FX1" t="e">
        <f>AND(Sheet1!X5,"AAAAAGX9wbM=")</f>
        <v>#VALUE!</v>
      </c>
      <c r="FY1" t="e">
        <f>AND(Sheet1!Y5,"AAAAAGX9wbQ=")</f>
        <v>#VALUE!</v>
      </c>
      <c r="FZ1" t="e">
        <f>AND(Sheet1!Z5,"AAAAAGX9wbU=")</f>
        <v>#VALUE!</v>
      </c>
      <c r="GA1" t="e">
        <f>AND(Sheet1!AA5,"AAAAAGX9wbY=")</f>
        <v>#VALUE!</v>
      </c>
      <c r="GB1" t="e">
        <f>AND(Sheet1!AB5,"AAAAAGX9wbc=")</f>
        <v>#VALUE!</v>
      </c>
      <c r="GC1">
        <f>IF(Sheet1!6:6,"AAAAAGX9wbg=",0)</f>
        <v>0</v>
      </c>
      <c r="GD1" t="e">
        <f>AND(Sheet1!A6,"AAAAAGX9wbk=")</f>
        <v>#VALUE!</v>
      </c>
      <c r="GE1" t="e">
        <f>AND(Sheet1!B6,"AAAAAGX9wbo=")</f>
        <v>#VALUE!</v>
      </c>
      <c r="GF1" t="e">
        <f>AND(Sheet1!C6,"AAAAAGX9wbs=")</f>
        <v>#VALUE!</v>
      </c>
      <c r="GG1" t="e">
        <f>AND(Sheet1!D6,"AAAAAGX9wbw=")</f>
        <v>#VALUE!</v>
      </c>
      <c r="GH1" t="e">
        <f>AND(Sheet1!E6,"AAAAAGX9wb0=")</f>
        <v>#VALUE!</v>
      </c>
      <c r="GI1" t="e">
        <f>AND(Sheet1!F6,"AAAAAGX9wb4=")</f>
        <v>#VALUE!</v>
      </c>
      <c r="GJ1" t="e">
        <f>AND(Sheet1!G6,"AAAAAGX9wb8=")</f>
        <v>#VALUE!</v>
      </c>
      <c r="GK1" t="e">
        <f>AND(Sheet1!H6,"AAAAAGX9wcA=")</f>
        <v>#VALUE!</v>
      </c>
      <c r="GL1" t="e">
        <f>AND(Sheet1!I6,"AAAAAGX9wcE=")</f>
        <v>#VALUE!</v>
      </c>
      <c r="GM1" t="e">
        <f>AND(Sheet1!J6,"AAAAAGX9wcI=")</f>
        <v>#VALUE!</v>
      </c>
      <c r="GN1" t="e">
        <f>AND(Sheet1!K6,"AAAAAGX9wcM=")</f>
        <v>#VALUE!</v>
      </c>
      <c r="GO1" t="e">
        <f>AND(Sheet1!L6,"AAAAAGX9wcQ=")</f>
        <v>#VALUE!</v>
      </c>
      <c r="GP1" t="e">
        <f>AND(Sheet1!M6,"AAAAAGX9wcU=")</f>
        <v>#VALUE!</v>
      </c>
      <c r="GQ1" t="e">
        <f>AND(Sheet1!N6,"AAAAAGX9wcY=")</f>
        <v>#VALUE!</v>
      </c>
      <c r="GR1" t="e">
        <f>AND(Sheet1!O6,"AAAAAGX9wcc=")</f>
        <v>#VALUE!</v>
      </c>
      <c r="GS1" t="e">
        <f>AND(Sheet1!P6,"AAAAAGX9wcg=")</f>
        <v>#VALUE!</v>
      </c>
      <c r="GT1" t="e">
        <f>AND(Sheet1!Q6,"AAAAAGX9wck=")</f>
        <v>#VALUE!</v>
      </c>
      <c r="GU1" t="e">
        <f>AND(Sheet1!R6,"AAAAAGX9wco=")</f>
        <v>#VALUE!</v>
      </c>
      <c r="GV1" t="e">
        <f>AND(Sheet1!S6,"AAAAAGX9wcs=")</f>
        <v>#VALUE!</v>
      </c>
      <c r="GW1" t="e">
        <f>AND(Sheet1!T6,"AAAAAGX9wcw=")</f>
        <v>#VALUE!</v>
      </c>
      <c r="GX1" t="e">
        <f>AND(Sheet1!U6,"AAAAAGX9wc0=")</f>
        <v>#VALUE!</v>
      </c>
      <c r="GY1" t="e">
        <f>AND(Sheet1!V6,"AAAAAGX9wc4=")</f>
        <v>#VALUE!</v>
      </c>
      <c r="GZ1" t="e">
        <f>AND(Sheet1!W6,"AAAAAGX9wc8=")</f>
        <v>#VALUE!</v>
      </c>
      <c r="HA1" t="e">
        <f>AND(Sheet1!X6,"AAAAAGX9wdA=")</f>
        <v>#VALUE!</v>
      </c>
      <c r="HB1" t="e">
        <f>AND(Sheet1!Y6,"AAAAAGX9wdE=")</f>
        <v>#VALUE!</v>
      </c>
      <c r="HC1" t="e">
        <f>AND(Sheet1!Z6,"AAAAAGX9wdI=")</f>
        <v>#VALUE!</v>
      </c>
      <c r="HD1" t="e">
        <f>AND(Sheet1!AA6,"AAAAAGX9wdM=")</f>
        <v>#VALUE!</v>
      </c>
      <c r="HE1" t="e">
        <f>AND(Sheet1!AB6,"AAAAAGX9wdQ=")</f>
        <v>#VALUE!</v>
      </c>
      <c r="HF1">
        <f>IF(Sheet1!7:7,"AAAAAGX9wdU=",0)</f>
        <v>0</v>
      </c>
      <c r="HG1" t="e">
        <f>AND(Sheet1!A7,"AAAAAGX9wdY=")</f>
        <v>#VALUE!</v>
      </c>
      <c r="HH1" t="e">
        <f>AND(Sheet1!B7,"AAAAAGX9wdc=")</f>
        <v>#VALUE!</v>
      </c>
      <c r="HI1" t="e">
        <f>AND(Sheet1!C7,"AAAAAGX9wdg=")</f>
        <v>#VALUE!</v>
      </c>
      <c r="HJ1" t="e">
        <f>AND(Sheet1!D7,"AAAAAGX9wdk=")</f>
        <v>#VALUE!</v>
      </c>
      <c r="HK1" t="e">
        <f>AND(Sheet1!E7,"AAAAAGX9wdo=")</f>
        <v>#VALUE!</v>
      </c>
      <c r="HL1" t="e">
        <f>AND(Sheet1!F7,"AAAAAGX9wds=")</f>
        <v>#VALUE!</v>
      </c>
      <c r="HM1" t="e">
        <f>AND(Sheet1!G7,"AAAAAGX9wdw=")</f>
        <v>#VALUE!</v>
      </c>
      <c r="HN1" t="e">
        <f>AND(Sheet1!H7,"AAAAAGX9wd0=")</f>
        <v>#VALUE!</v>
      </c>
      <c r="HO1" t="e">
        <f>AND(Sheet1!I7,"AAAAAGX9wd4=")</f>
        <v>#VALUE!</v>
      </c>
      <c r="HP1" t="e">
        <f>AND(Sheet1!J7,"AAAAAGX9wd8=")</f>
        <v>#VALUE!</v>
      </c>
      <c r="HQ1" t="e">
        <f>AND(Sheet1!K7,"AAAAAGX9weA=")</f>
        <v>#VALUE!</v>
      </c>
      <c r="HR1" t="e">
        <f>AND(Sheet1!L7,"AAAAAGX9weE=")</f>
        <v>#VALUE!</v>
      </c>
      <c r="HS1" t="e">
        <f>AND(Sheet1!M7,"AAAAAGX9weI=")</f>
        <v>#VALUE!</v>
      </c>
      <c r="HT1" t="e">
        <f>AND(Sheet1!N7,"AAAAAGX9weM=")</f>
        <v>#VALUE!</v>
      </c>
      <c r="HU1" t="e">
        <f>AND(Sheet1!O7,"AAAAAGX9weQ=")</f>
        <v>#VALUE!</v>
      </c>
      <c r="HV1" t="e">
        <f>AND(Sheet1!P7,"AAAAAGX9weU=")</f>
        <v>#VALUE!</v>
      </c>
      <c r="HW1" t="e">
        <f>AND(Sheet1!Q7,"AAAAAGX9weY=")</f>
        <v>#VALUE!</v>
      </c>
      <c r="HX1" t="e">
        <f>AND(Sheet1!R7,"AAAAAGX9wec=")</f>
        <v>#VALUE!</v>
      </c>
      <c r="HY1" t="e">
        <f>AND(Sheet1!S7,"AAAAAGX9weg=")</f>
        <v>#VALUE!</v>
      </c>
      <c r="HZ1" t="e">
        <f>AND(Sheet1!T7,"AAAAAGX9wek=")</f>
        <v>#VALUE!</v>
      </c>
      <c r="IA1" t="e">
        <f>AND(Sheet1!U7,"AAAAAGX9weo=")</f>
        <v>#VALUE!</v>
      </c>
      <c r="IB1" t="e">
        <f>AND(Sheet1!V7,"AAAAAGX9wes=")</f>
        <v>#VALUE!</v>
      </c>
      <c r="IC1" t="e">
        <f>AND(Sheet1!W7,"AAAAAGX9wew=")</f>
        <v>#VALUE!</v>
      </c>
      <c r="ID1" t="e">
        <f>AND(Sheet1!X7,"AAAAAGX9we0=")</f>
        <v>#VALUE!</v>
      </c>
      <c r="IE1" t="e">
        <f>AND(Sheet1!Y7,"AAAAAGX9we4=")</f>
        <v>#VALUE!</v>
      </c>
      <c r="IF1" t="e">
        <f>AND(Sheet1!Z7,"AAAAAGX9we8=")</f>
        <v>#VALUE!</v>
      </c>
      <c r="IG1" t="e">
        <f>AND(Sheet1!AA7,"AAAAAGX9wfA=")</f>
        <v>#VALUE!</v>
      </c>
      <c r="IH1" t="e">
        <f>AND(Sheet1!AB7,"AAAAAGX9wfE=")</f>
        <v>#VALUE!</v>
      </c>
      <c r="II1">
        <f>IF(Sheet1!8:8,"AAAAAGX9wfI=",0)</f>
        <v>0</v>
      </c>
      <c r="IJ1" t="e">
        <f>AND(Sheet1!A8,"AAAAAGX9wfM=")</f>
        <v>#VALUE!</v>
      </c>
      <c r="IK1" t="e">
        <f>AND(Sheet1!B8,"AAAAAGX9wfQ=")</f>
        <v>#VALUE!</v>
      </c>
      <c r="IL1" t="e">
        <f>AND(Sheet1!C8,"AAAAAGX9wfU=")</f>
        <v>#VALUE!</v>
      </c>
      <c r="IM1" t="e">
        <f>AND(Sheet1!D8,"AAAAAGX9wfY=")</f>
        <v>#VALUE!</v>
      </c>
      <c r="IN1" t="e">
        <f>AND(Sheet1!E8,"AAAAAGX9wfc=")</f>
        <v>#VALUE!</v>
      </c>
      <c r="IO1" t="e">
        <f>AND(Sheet1!F8,"AAAAAGX9wfg=")</f>
        <v>#VALUE!</v>
      </c>
      <c r="IP1" t="e">
        <f>AND(Sheet1!G8,"AAAAAGX9wfk=")</f>
        <v>#VALUE!</v>
      </c>
      <c r="IQ1" t="e">
        <f>AND(Sheet1!H8,"AAAAAGX9wfo=")</f>
        <v>#VALUE!</v>
      </c>
      <c r="IR1" t="e">
        <f>AND(Sheet1!I8,"AAAAAGX9wfs=")</f>
        <v>#VALUE!</v>
      </c>
      <c r="IS1" t="e">
        <f>AND(Sheet1!J8,"AAAAAGX9wfw=")</f>
        <v>#VALUE!</v>
      </c>
      <c r="IT1" t="e">
        <f>AND(Sheet1!K8,"AAAAAGX9wf0=")</f>
        <v>#VALUE!</v>
      </c>
      <c r="IU1" t="e">
        <f>AND(Sheet1!L8,"AAAAAGX9wf4=")</f>
        <v>#VALUE!</v>
      </c>
      <c r="IV1" t="e">
        <f>AND(Sheet1!M8,"AAAAAGX9wf8=")</f>
        <v>#VALUE!</v>
      </c>
    </row>
    <row r="2" spans="1:256" ht="12.75">
      <c r="A2" t="e">
        <f>AND(Sheet1!N8,"AAAAAHoXvwA=")</f>
        <v>#VALUE!</v>
      </c>
      <c r="B2" t="e">
        <f>AND(Sheet1!O8,"AAAAAHoXvwE=")</f>
        <v>#VALUE!</v>
      </c>
      <c r="C2" t="e">
        <f>AND(Sheet1!P8,"AAAAAHoXvwI=")</f>
        <v>#VALUE!</v>
      </c>
      <c r="D2" t="e">
        <f>AND(Sheet1!Q8,"AAAAAHoXvwM=")</f>
        <v>#VALUE!</v>
      </c>
      <c r="E2" t="e">
        <f>AND(Sheet1!R8,"AAAAAHoXvwQ=")</f>
        <v>#VALUE!</v>
      </c>
      <c r="F2" t="e">
        <f>AND(Sheet1!S8,"AAAAAHoXvwU=")</f>
        <v>#VALUE!</v>
      </c>
      <c r="G2" t="e">
        <f>AND(Sheet1!T8,"AAAAAHoXvwY=")</f>
        <v>#VALUE!</v>
      </c>
      <c r="H2" t="e">
        <f>AND(Sheet1!U8,"AAAAAHoXvwc=")</f>
        <v>#VALUE!</v>
      </c>
      <c r="I2" t="e">
        <f>AND(Sheet1!V8,"AAAAAHoXvwg=")</f>
        <v>#VALUE!</v>
      </c>
      <c r="J2" t="e">
        <f>AND(Sheet1!W8,"AAAAAHoXvwk=")</f>
        <v>#VALUE!</v>
      </c>
      <c r="K2" t="e">
        <f>AND(Sheet1!X8,"AAAAAHoXvwo=")</f>
        <v>#VALUE!</v>
      </c>
      <c r="L2" t="e">
        <f>AND(Sheet1!Y8,"AAAAAHoXvws=")</f>
        <v>#VALUE!</v>
      </c>
      <c r="M2" t="e">
        <f>AND(Sheet1!Z8,"AAAAAHoXvww=")</f>
        <v>#VALUE!</v>
      </c>
      <c r="N2" t="e">
        <f>AND(Sheet1!AA8,"AAAAAHoXvw0=")</f>
        <v>#VALUE!</v>
      </c>
      <c r="O2" t="e">
        <f>AND(Sheet1!AB8,"AAAAAHoXvw4=")</f>
        <v>#VALUE!</v>
      </c>
      <c r="P2">
        <f>IF(Sheet1!9:9,"AAAAAHoXvw8=",0)</f>
        <v>0</v>
      </c>
      <c r="Q2" t="e">
        <f>AND(Sheet1!A9,"AAAAAHoXvxA=")</f>
        <v>#VALUE!</v>
      </c>
      <c r="R2" t="e">
        <f>AND(Sheet1!B9,"AAAAAHoXvxE=")</f>
        <v>#VALUE!</v>
      </c>
      <c r="S2" t="e">
        <f>AND(Sheet1!C9,"AAAAAHoXvxI=")</f>
        <v>#VALUE!</v>
      </c>
      <c r="T2" t="e">
        <f>AND(Sheet1!D9,"AAAAAHoXvxM=")</f>
        <v>#VALUE!</v>
      </c>
      <c r="U2" t="e">
        <f>AND(Sheet1!E9,"AAAAAHoXvxQ=")</f>
        <v>#VALUE!</v>
      </c>
      <c r="V2" t="e">
        <f>AND(Sheet1!F9,"AAAAAHoXvxU=")</f>
        <v>#VALUE!</v>
      </c>
      <c r="W2" t="e">
        <f>AND(Sheet1!G9,"AAAAAHoXvxY=")</f>
        <v>#VALUE!</v>
      </c>
      <c r="X2" t="e">
        <f>AND(Sheet1!H9,"AAAAAHoXvxc=")</f>
        <v>#VALUE!</v>
      </c>
      <c r="Y2" t="e">
        <f>AND(Sheet1!I9,"AAAAAHoXvxg=")</f>
        <v>#VALUE!</v>
      </c>
      <c r="Z2" t="e">
        <f>AND(Sheet1!J9,"AAAAAHoXvxk=")</f>
        <v>#VALUE!</v>
      </c>
      <c r="AA2" t="e">
        <f>AND(Sheet1!K9,"AAAAAHoXvxo=")</f>
        <v>#VALUE!</v>
      </c>
      <c r="AB2" t="e">
        <f>AND(Sheet1!L9,"AAAAAHoXvxs=")</f>
        <v>#VALUE!</v>
      </c>
      <c r="AC2" t="e">
        <f>AND(Sheet1!M9,"AAAAAHoXvxw=")</f>
        <v>#VALUE!</v>
      </c>
      <c r="AD2" t="e">
        <f>AND(Sheet1!N9,"AAAAAHoXvx0=")</f>
        <v>#VALUE!</v>
      </c>
      <c r="AE2" t="e">
        <f>AND(Sheet1!O9,"AAAAAHoXvx4=")</f>
        <v>#VALUE!</v>
      </c>
      <c r="AF2" t="e">
        <f>AND(Sheet1!P9,"AAAAAHoXvx8=")</f>
        <v>#VALUE!</v>
      </c>
      <c r="AG2" t="e">
        <f>AND(Sheet1!Q9,"AAAAAHoXvyA=")</f>
        <v>#VALUE!</v>
      </c>
      <c r="AH2" t="e">
        <f>AND(Sheet1!R9,"AAAAAHoXvyE=")</f>
        <v>#VALUE!</v>
      </c>
      <c r="AI2" t="e">
        <f>AND(Sheet1!S9,"AAAAAHoXvyI=")</f>
        <v>#VALUE!</v>
      </c>
      <c r="AJ2" t="e">
        <f>AND(Sheet1!T9,"AAAAAHoXvyM=")</f>
        <v>#VALUE!</v>
      </c>
      <c r="AK2" t="e">
        <f>AND(Sheet1!U9,"AAAAAHoXvyQ=")</f>
        <v>#VALUE!</v>
      </c>
      <c r="AL2" t="e">
        <f>AND(Sheet1!V9,"AAAAAHoXvyU=")</f>
        <v>#VALUE!</v>
      </c>
      <c r="AM2" t="e">
        <f>AND(Sheet1!W9,"AAAAAHoXvyY=")</f>
        <v>#VALUE!</v>
      </c>
      <c r="AN2" t="e">
        <f>AND(Sheet1!X9,"AAAAAHoXvyc=")</f>
        <v>#VALUE!</v>
      </c>
      <c r="AO2" t="e">
        <f>AND(Sheet1!Y9,"AAAAAHoXvyg=")</f>
        <v>#VALUE!</v>
      </c>
      <c r="AP2" t="e">
        <f>AND(Sheet1!Z9,"AAAAAHoXvyk=")</f>
        <v>#VALUE!</v>
      </c>
      <c r="AQ2" t="e">
        <f>AND(Sheet1!AA9,"AAAAAHoXvyo=")</f>
        <v>#VALUE!</v>
      </c>
      <c r="AR2" t="e">
        <f>AND(Sheet1!AB9,"AAAAAHoXvys=")</f>
        <v>#VALUE!</v>
      </c>
      <c r="AS2">
        <f>IF(Sheet1!10:10,"AAAAAHoXvyw=",0)</f>
        <v>0</v>
      </c>
      <c r="AT2" t="e">
        <f>AND(Sheet1!A10,"AAAAAHoXvy0=")</f>
        <v>#VALUE!</v>
      </c>
      <c r="AU2" t="e">
        <f>AND(Sheet1!B10,"AAAAAHoXvy4=")</f>
        <v>#VALUE!</v>
      </c>
      <c r="AV2" t="e">
        <f>AND(Sheet1!C10,"AAAAAHoXvy8=")</f>
        <v>#VALUE!</v>
      </c>
      <c r="AW2" t="e">
        <f>AND(Sheet1!D10,"AAAAAHoXvzA=")</f>
        <v>#VALUE!</v>
      </c>
      <c r="AX2" t="e">
        <f>AND(Sheet1!E10,"AAAAAHoXvzE=")</f>
        <v>#VALUE!</v>
      </c>
      <c r="AY2" t="e">
        <f>AND(Sheet1!F10,"AAAAAHoXvzI=")</f>
        <v>#VALUE!</v>
      </c>
      <c r="AZ2" t="e">
        <f>AND(Sheet1!G10,"AAAAAHoXvzM=")</f>
        <v>#VALUE!</v>
      </c>
      <c r="BA2" t="e">
        <f>AND(Sheet1!H10,"AAAAAHoXvzQ=")</f>
        <v>#VALUE!</v>
      </c>
      <c r="BB2" t="e">
        <f>AND(Sheet1!I10,"AAAAAHoXvzU=")</f>
        <v>#VALUE!</v>
      </c>
      <c r="BC2" t="e">
        <f>AND(Sheet1!J10,"AAAAAHoXvzY=")</f>
        <v>#VALUE!</v>
      </c>
      <c r="BD2" t="e">
        <f>AND(Sheet1!K10,"AAAAAHoXvzc=")</f>
        <v>#VALUE!</v>
      </c>
      <c r="BE2" t="e">
        <f>AND(Sheet1!L10,"AAAAAHoXvzg=")</f>
        <v>#VALUE!</v>
      </c>
      <c r="BF2" t="e">
        <f>AND(Sheet1!M10,"AAAAAHoXvzk=")</f>
        <v>#VALUE!</v>
      </c>
      <c r="BG2" t="e">
        <f>AND(Sheet1!N10,"AAAAAHoXvzo=")</f>
        <v>#VALUE!</v>
      </c>
      <c r="BH2" t="e">
        <f>AND(Sheet1!O10,"AAAAAHoXvzs=")</f>
        <v>#VALUE!</v>
      </c>
      <c r="BI2" t="e">
        <f>AND(Sheet1!P10,"AAAAAHoXvzw=")</f>
        <v>#VALUE!</v>
      </c>
      <c r="BJ2" t="e">
        <f>AND(Sheet1!Q10,"AAAAAHoXvz0=")</f>
        <v>#VALUE!</v>
      </c>
      <c r="BK2" t="e">
        <f>AND(Sheet1!R10,"AAAAAHoXvz4=")</f>
        <v>#VALUE!</v>
      </c>
      <c r="BL2" t="e">
        <f>AND(Sheet1!S10,"AAAAAHoXvz8=")</f>
        <v>#VALUE!</v>
      </c>
      <c r="BM2" t="e">
        <f>AND(Sheet1!T10,"AAAAAHoXv0A=")</f>
        <v>#VALUE!</v>
      </c>
      <c r="BN2" t="e">
        <f>AND(Sheet1!U10,"AAAAAHoXv0E=")</f>
        <v>#VALUE!</v>
      </c>
      <c r="BO2" t="e">
        <f>AND(Sheet1!V10,"AAAAAHoXv0I=")</f>
        <v>#VALUE!</v>
      </c>
      <c r="BP2" t="e">
        <f>AND(Sheet1!W10,"AAAAAHoXv0M=")</f>
        <v>#VALUE!</v>
      </c>
      <c r="BQ2" t="e">
        <f>AND(Sheet1!X10,"AAAAAHoXv0Q=")</f>
        <v>#VALUE!</v>
      </c>
      <c r="BR2" t="e">
        <f>AND(Sheet1!Y10,"AAAAAHoXv0U=")</f>
        <v>#VALUE!</v>
      </c>
      <c r="BS2" t="e">
        <f>AND(Sheet1!Z10,"AAAAAHoXv0Y=")</f>
        <v>#VALUE!</v>
      </c>
      <c r="BT2" t="e">
        <f>AND(Sheet1!AA10,"AAAAAHoXv0c=")</f>
        <v>#VALUE!</v>
      </c>
      <c r="BU2" t="e">
        <f>AND(Sheet1!AB10,"AAAAAHoXv0g=")</f>
        <v>#VALUE!</v>
      </c>
      <c r="BV2">
        <f>IF(Sheet1!11:11,"AAAAAHoXv0k=",0)</f>
        <v>0</v>
      </c>
      <c r="BW2" t="e">
        <f>AND(Sheet1!A11,"AAAAAHoXv0o=")</f>
        <v>#VALUE!</v>
      </c>
      <c r="BX2" t="e">
        <f>AND(Sheet1!B11,"AAAAAHoXv0s=")</f>
        <v>#VALUE!</v>
      </c>
      <c r="BY2" t="e">
        <f>AND(Sheet1!C11,"AAAAAHoXv0w=")</f>
        <v>#VALUE!</v>
      </c>
      <c r="BZ2" t="e">
        <f>AND(Sheet1!D11,"AAAAAHoXv00=")</f>
        <v>#VALUE!</v>
      </c>
      <c r="CA2" t="e">
        <f>AND(Sheet1!E11,"AAAAAHoXv04=")</f>
        <v>#VALUE!</v>
      </c>
      <c r="CB2" t="e">
        <f>AND(Sheet1!F11,"AAAAAHoXv08=")</f>
        <v>#VALUE!</v>
      </c>
      <c r="CC2" t="e">
        <f>AND(Sheet1!G11,"AAAAAHoXv1A=")</f>
        <v>#VALUE!</v>
      </c>
      <c r="CD2" t="e">
        <f>AND(Sheet1!H11,"AAAAAHoXv1E=")</f>
        <v>#VALUE!</v>
      </c>
      <c r="CE2" t="e">
        <f>AND(Sheet1!I11,"AAAAAHoXv1I=")</f>
        <v>#VALUE!</v>
      </c>
      <c r="CF2" t="e">
        <f>AND(Sheet1!J11,"AAAAAHoXv1M=")</f>
        <v>#VALUE!</v>
      </c>
      <c r="CG2" t="e">
        <f>AND(Sheet1!K11,"AAAAAHoXv1Q=")</f>
        <v>#VALUE!</v>
      </c>
      <c r="CH2" t="e">
        <f>AND(Sheet1!L11,"AAAAAHoXv1U=")</f>
        <v>#VALUE!</v>
      </c>
      <c r="CI2" t="e">
        <f>AND(Sheet1!M11,"AAAAAHoXv1Y=")</f>
        <v>#VALUE!</v>
      </c>
      <c r="CJ2" t="e">
        <f>AND(Sheet1!N11,"AAAAAHoXv1c=")</f>
        <v>#VALUE!</v>
      </c>
      <c r="CK2" t="e">
        <f>AND(Sheet1!O11,"AAAAAHoXv1g=")</f>
        <v>#VALUE!</v>
      </c>
      <c r="CL2" t="e">
        <f>AND(Sheet1!P11,"AAAAAHoXv1k=")</f>
        <v>#VALUE!</v>
      </c>
      <c r="CM2" t="e">
        <f>AND(Sheet1!Q11,"AAAAAHoXv1o=")</f>
        <v>#VALUE!</v>
      </c>
      <c r="CN2" t="e">
        <f>AND(Sheet1!R11,"AAAAAHoXv1s=")</f>
        <v>#VALUE!</v>
      </c>
      <c r="CO2" t="e">
        <f>AND(Sheet1!S11,"AAAAAHoXv1w=")</f>
        <v>#VALUE!</v>
      </c>
      <c r="CP2" t="e">
        <f>AND(Sheet1!T11,"AAAAAHoXv10=")</f>
        <v>#VALUE!</v>
      </c>
      <c r="CQ2" t="e">
        <f>AND(Sheet1!U11,"AAAAAHoXv14=")</f>
        <v>#VALUE!</v>
      </c>
      <c r="CR2" t="e">
        <f>AND(Sheet1!V11,"AAAAAHoXv18=")</f>
        <v>#VALUE!</v>
      </c>
      <c r="CS2" t="e">
        <f>AND(Sheet1!W11,"AAAAAHoXv2A=")</f>
        <v>#VALUE!</v>
      </c>
      <c r="CT2" t="e">
        <f>AND(Sheet1!X11,"AAAAAHoXv2E=")</f>
        <v>#VALUE!</v>
      </c>
      <c r="CU2" t="e">
        <f>AND(Sheet1!Y11,"AAAAAHoXv2I=")</f>
        <v>#VALUE!</v>
      </c>
      <c r="CV2" t="e">
        <f>AND(Sheet1!Z11,"AAAAAHoXv2M=")</f>
        <v>#VALUE!</v>
      </c>
      <c r="CW2" t="e">
        <f>AND(Sheet1!AA11,"AAAAAHoXv2Q=")</f>
        <v>#VALUE!</v>
      </c>
      <c r="CX2" t="e">
        <f>AND(Sheet1!AB11,"AAAAAHoXv2U=")</f>
        <v>#VALUE!</v>
      </c>
      <c r="CY2">
        <f>IF(Sheet1!12:12,"AAAAAHoXv2Y=",0)</f>
        <v>0</v>
      </c>
      <c r="CZ2" t="e">
        <f>AND(Sheet1!A12,"AAAAAHoXv2c=")</f>
        <v>#VALUE!</v>
      </c>
      <c r="DA2" t="e">
        <f>AND(Sheet1!B12,"AAAAAHoXv2g=")</f>
        <v>#VALUE!</v>
      </c>
      <c r="DB2" t="e">
        <f>AND(Sheet1!C12,"AAAAAHoXv2k=")</f>
        <v>#VALUE!</v>
      </c>
      <c r="DC2" t="e">
        <f>AND(Sheet1!D12,"AAAAAHoXv2o=")</f>
        <v>#VALUE!</v>
      </c>
      <c r="DD2" t="e">
        <f>AND(Sheet1!E12,"AAAAAHoXv2s=")</f>
        <v>#VALUE!</v>
      </c>
      <c r="DE2" t="e">
        <f>AND(Sheet1!F12,"AAAAAHoXv2w=")</f>
        <v>#VALUE!</v>
      </c>
      <c r="DF2" t="e">
        <f>AND(Sheet1!G12,"AAAAAHoXv20=")</f>
        <v>#VALUE!</v>
      </c>
      <c r="DG2" t="e">
        <f>AND(Sheet1!H12,"AAAAAHoXv24=")</f>
        <v>#VALUE!</v>
      </c>
      <c r="DH2" t="e">
        <f>AND(Sheet1!I12,"AAAAAHoXv28=")</f>
        <v>#VALUE!</v>
      </c>
      <c r="DI2" t="e">
        <f>AND(Sheet1!J12,"AAAAAHoXv3A=")</f>
        <v>#VALUE!</v>
      </c>
      <c r="DJ2" t="e">
        <f>AND(Sheet1!K12,"AAAAAHoXv3E=")</f>
        <v>#VALUE!</v>
      </c>
      <c r="DK2" t="e">
        <f>AND(Sheet1!L12,"AAAAAHoXv3I=")</f>
        <v>#VALUE!</v>
      </c>
      <c r="DL2" t="e">
        <f>AND(Sheet1!M12,"AAAAAHoXv3M=")</f>
        <v>#VALUE!</v>
      </c>
      <c r="DM2" t="e">
        <f>AND(Sheet1!N12,"AAAAAHoXv3Q=")</f>
        <v>#VALUE!</v>
      </c>
      <c r="DN2" t="e">
        <f>AND(Sheet1!O12,"AAAAAHoXv3U=")</f>
        <v>#VALUE!</v>
      </c>
      <c r="DO2" t="e">
        <f>AND(Sheet1!P12,"AAAAAHoXv3Y=")</f>
        <v>#VALUE!</v>
      </c>
      <c r="DP2" t="e">
        <f>AND(Sheet1!Q12,"AAAAAHoXv3c=")</f>
        <v>#VALUE!</v>
      </c>
      <c r="DQ2" t="e">
        <f>AND(Sheet1!R12,"AAAAAHoXv3g=")</f>
        <v>#VALUE!</v>
      </c>
      <c r="DR2" t="e">
        <f>AND(Sheet1!S12,"AAAAAHoXv3k=")</f>
        <v>#VALUE!</v>
      </c>
      <c r="DS2" t="e">
        <f>AND(Sheet1!T12,"AAAAAHoXv3o=")</f>
        <v>#VALUE!</v>
      </c>
      <c r="DT2" t="e">
        <f>AND(Sheet1!U12,"AAAAAHoXv3s=")</f>
        <v>#VALUE!</v>
      </c>
      <c r="DU2" t="e">
        <f>AND(Sheet1!V12,"AAAAAHoXv3w=")</f>
        <v>#VALUE!</v>
      </c>
      <c r="DV2" t="e">
        <f>AND(Sheet1!W12,"AAAAAHoXv30=")</f>
        <v>#VALUE!</v>
      </c>
      <c r="DW2" t="e">
        <f>AND(Sheet1!X12,"AAAAAHoXv34=")</f>
        <v>#VALUE!</v>
      </c>
      <c r="DX2" t="e">
        <f>AND(Sheet1!Y12,"AAAAAHoXv38=")</f>
        <v>#VALUE!</v>
      </c>
      <c r="DY2" t="e">
        <f>AND(Sheet1!Z12,"AAAAAHoXv4A=")</f>
        <v>#VALUE!</v>
      </c>
      <c r="DZ2" t="e">
        <f>AND(Sheet1!AA12,"AAAAAHoXv4E=")</f>
        <v>#VALUE!</v>
      </c>
      <c r="EA2" t="e">
        <f>AND(Sheet1!AB12,"AAAAAHoXv4I=")</f>
        <v>#VALUE!</v>
      </c>
      <c r="EB2">
        <f>IF(Sheet1!13:13,"AAAAAHoXv4M=",0)</f>
        <v>0</v>
      </c>
      <c r="EC2" t="e">
        <f>AND(Sheet1!A13,"AAAAAHoXv4Q=")</f>
        <v>#VALUE!</v>
      </c>
      <c r="ED2" t="e">
        <f>AND(Sheet1!B13,"AAAAAHoXv4U=")</f>
        <v>#VALUE!</v>
      </c>
      <c r="EE2" t="e">
        <f>AND(Sheet1!C13,"AAAAAHoXv4Y=")</f>
        <v>#VALUE!</v>
      </c>
      <c r="EF2" t="e">
        <f>AND(Sheet1!D13,"AAAAAHoXv4c=")</f>
        <v>#VALUE!</v>
      </c>
      <c r="EG2" t="e">
        <f>AND(Sheet1!E13,"AAAAAHoXv4g=")</f>
        <v>#VALUE!</v>
      </c>
      <c r="EH2" t="e">
        <f>AND(Sheet1!F13,"AAAAAHoXv4k=")</f>
        <v>#VALUE!</v>
      </c>
      <c r="EI2" t="e">
        <f>AND(Sheet1!G13,"AAAAAHoXv4o=")</f>
        <v>#VALUE!</v>
      </c>
      <c r="EJ2" t="e">
        <f>AND(Sheet1!H13,"AAAAAHoXv4s=")</f>
        <v>#VALUE!</v>
      </c>
      <c r="EK2" t="e">
        <f>AND(Sheet1!I13,"AAAAAHoXv4w=")</f>
        <v>#VALUE!</v>
      </c>
      <c r="EL2" t="e">
        <f>AND(Sheet1!J13,"AAAAAHoXv40=")</f>
        <v>#VALUE!</v>
      </c>
      <c r="EM2" t="e">
        <f>AND(Sheet1!K13,"AAAAAHoXv44=")</f>
        <v>#VALUE!</v>
      </c>
      <c r="EN2" t="e">
        <f>AND(Sheet1!L13,"AAAAAHoXv48=")</f>
        <v>#VALUE!</v>
      </c>
      <c r="EO2" t="e">
        <f>AND(Sheet1!M13,"AAAAAHoXv5A=")</f>
        <v>#VALUE!</v>
      </c>
      <c r="EP2" t="e">
        <f>AND(Sheet1!N13,"AAAAAHoXv5E=")</f>
        <v>#VALUE!</v>
      </c>
      <c r="EQ2" t="e">
        <f>AND(Sheet1!O13,"AAAAAHoXv5I=")</f>
        <v>#VALUE!</v>
      </c>
      <c r="ER2" t="e">
        <f>AND(Sheet1!P13,"AAAAAHoXv5M=")</f>
        <v>#VALUE!</v>
      </c>
      <c r="ES2" t="e">
        <f>AND(Sheet1!Q13,"AAAAAHoXv5Q=")</f>
        <v>#VALUE!</v>
      </c>
      <c r="ET2" t="e">
        <f>AND(Sheet1!R13,"AAAAAHoXv5U=")</f>
        <v>#VALUE!</v>
      </c>
      <c r="EU2" t="e">
        <f>AND(Sheet1!S13,"AAAAAHoXv5Y=")</f>
        <v>#VALUE!</v>
      </c>
      <c r="EV2" t="e">
        <f>AND(Sheet1!T13,"AAAAAHoXv5c=")</f>
        <v>#VALUE!</v>
      </c>
      <c r="EW2" t="e">
        <f>AND(Sheet1!U13,"AAAAAHoXv5g=")</f>
        <v>#VALUE!</v>
      </c>
      <c r="EX2" t="e">
        <f>AND(Sheet1!V13,"AAAAAHoXv5k=")</f>
        <v>#VALUE!</v>
      </c>
      <c r="EY2" t="e">
        <f>AND(Sheet1!W13,"AAAAAHoXv5o=")</f>
        <v>#VALUE!</v>
      </c>
      <c r="EZ2" t="e">
        <f>AND(Sheet1!X13,"AAAAAHoXv5s=")</f>
        <v>#VALUE!</v>
      </c>
      <c r="FA2" t="e">
        <f>AND(Sheet1!Y13,"AAAAAHoXv5w=")</f>
        <v>#VALUE!</v>
      </c>
      <c r="FB2" t="e">
        <f>AND(Sheet1!Z13,"AAAAAHoXv50=")</f>
        <v>#VALUE!</v>
      </c>
      <c r="FC2" t="e">
        <f>AND(Sheet1!AA13,"AAAAAHoXv54=")</f>
        <v>#VALUE!</v>
      </c>
      <c r="FD2" t="e">
        <f>AND(Sheet1!AB13,"AAAAAHoXv58=")</f>
        <v>#VALUE!</v>
      </c>
      <c r="FE2">
        <f>IF(Sheet1!14:14,"AAAAAHoXv6A=",0)</f>
        <v>0</v>
      </c>
      <c r="FF2" t="e">
        <f>AND(Sheet1!A14,"AAAAAHoXv6E=")</f>
        <v>#VALUE!</v>
      </c>
      <c r="FG2" t="e">
        <f>AND(Sheet1!B14,"AAAAAHoXv6I=")</f>
        <v>#VALUE!</v>
      </c>
      <c r="FH2" t="e">
        <f>AND(Sheet1!C14,"AAAAAHoXv6M=")</f>
        <v>#VALUE!</v>
      </c>
      <c r="FI2" t="e">
        <f>AND(Sheet1!D14,"AAAAAHoXv6Q=")</f>
        <v>#VALUE!</v>
      </c>
      <c r="FJ2" t="e">
        <f>AND(Sheet1!E14,"AAAAAHoXv6U=")</f>
        <v>#VALUE!</v>
      </c>
      <c r="FK2" t="e">
        <f>AND(Sheet1!F14,"AAAAAHoXv6Y=")</f>
        <v>#VALUE!</v>
      </c>
      <c r="FL2" t="e">
        <f>AND(Sheet1!G14,"AAAAAHoXv6c=")</f>
        <v>#VALUE!</v>
      </c>
      <c r="FM2" t="e">
        <f>AND(Sheet1!H14,"AAAAAHoXv6g=")</f>
        <v>#VALUE!</v>
      </c>
      <c r="FN2" t="e">
        <f>AND(Sheet1!I14,"AAAAAHoXv6k=")</f>
        <v>#VALUE!</v>
      </c>
      <c r="FO2" t="e">
        <f>AND(Sheet1!J14,"AAAAAHoXv6o=")</f>
        <v>#VALUE!</v>
      </c>
      <c r="FP2" t="e">
        <f>AND(Sheet1!K14,"AAAAAHoXv6s=")</f>
        <v>#VALUE!</v>
      </c>
      <c r="FQ2" t="e">
        <f>AND(Sheet1!L14,"AAAAAHoXv6w=")</f>
        <v>#VALUE!</v>
      </c>
      <c r="FR2" t="e">
        <f>AND(Sheet1!M14,"AAAAAHoXv60=")</f>
        <v>#VALUE!</v>
      </c>
      <c r="FS2" t="e">
        <f>AND(Sheet1!N14,"AAAAAHoXv64=")</f>
        <v>#VALUE!</v>
      </c>
      <c r="FT2" t="e">
        <f>AND(Sheet1!O14,"AAAAAHoXv68=")</f>
        <v>#VALUE!</v>
      </c>
      <c r="FU2" t="e">
        <f>AND(Sheet1!P14,"AAAAAHoXv7A=")</f>
        <v>#VALUE!</v>
      </c>
      <c r="FV2" t="e">
        <f>AND(Sheet1!Q14,"AAAAAHoXv7E=")</f>
        <v>#VALUE!</v>
      </c>
      <c r="FW2" t="e">
        <f>AND(Sheet1!R14,"AAAAAHoXv7I=")</f>
        <v>#VALUE!</v>
      </c>
      <c r="FX2" t="e">
        <f>AND(Sheet1!S14,"AAAAAHoXv7M=")</f>
        <v>#VALUE!</v>
      </c>
      <c r="FY2" t="e">
        <f>AND(Sheet1!T14,"AAAAAHoXv7Q=")</f>
        <v>#VALUE!</v>
      </c>
      <c r="FZ2" t="e">
        <f>AND(Sheet1!U14,"AAAAAHoXv7U=")</f>
        <v>#VALUE!</v>
      </c>
      <c r="GA2" t="e">
        <f>AND(Sheet1!V14,"AAAAAHoXv7Y=")</f>
        <v>#VALUE!</v>
      </c>
      <c r="GB2" t="e">
        <f>AND(Sheet1!W14,"AAAAAHoXv7c=")</f>
        <v>#VALUE!</v>
      </c>
      <c r="GC2" t="e">
        <f>AND(Sheet1!X14,"AAAAAHoXv7g=")</f>
        <v>#VALUE!</v>
      </c>
      <c r="GD2" t="e">
        <f>AND(Sheet1!Y14,"AAAAAHoXv7k=")</f>
        <v>#VALUE!</v>
      </c>
      <c r="GE2" t="e">
        <f>AND(Sheet1!Z14,"AAAAAHoXv7o=")</f>
        <v>#VALUE!</v>
      </c>
      <c r="GF2" t="e">
        <f>AND(Sheet1!AA14,"AAAAAHoXv7s=")</f>
        <v>#VALUE!</v>
      </c>
      <c r="GG2" t="e">
        <f>AND(Sheet1!AB14,"AAAAAHoXv7w=")</f>
        <v>#VALUE!</v>
      </c>
      <c r="GH2">
        <f>IF(Sheet1!15:15,"AAAAAHoXv70=",0)</f>
        <v>0</v>
      </c>
      <c r="GI2" t="e">
        <f>AND(Sheet1!A15,"AAAAAHoXv74=")</f>
        <v>#VALUE!</v>
      </c>
      <c r="GJ2" t="e">
        <f>AND(Sheet1!B15,"AAAAAHoXv78=")</f>
        <v>#VALUE!</v>
      </c>
      <c r="GK2" t="e">
        <f>AND(Sheet1!C15,"AAAAAHoXv8A=")</f>
        <v>#VALUE!</v>
      </c>
      <c r="GL2" t="e">
        <f>AND(Sheet1!D15,"AAAAAHoXv8E=")</f>
        <v>#VALUE!</v>
      </c>
      <c r="GM2" t="e">
        <f>AND(Sheet1!E15,"AAAAAHoXv8I=")</f>
        <v>#VALUE!</v>
      </c>
      <c r="GN2" t="e">
        <f>AND(Sheet1!F15,"AAAAAHoXv8M=")</f>
        <v>#VALUE!</v>
      </c>
      <c r="GO2" t="e">
        <f>AND(Sheet1!G15,"AAAAAHoXv8Q=")</f>
        <v>#VALUE!</v>
      </c>
      <c r="GP2" t="e">
        <f>AND(Sheet1!H15,"AAAAAHoXv8U=")</f>
        <v>#VALUE!</v>
      </c>
      <c r="GQ2" t="e">
        <f>AND(Sheet1!I15,"AAAAAHoXv8Y=")</f>
        <v>#VALUE!</v>
      </c>
      <c r="GR2" t="e">
        <f>AND(Sheet1!J15,"AAAAAHoXv8c=")</f>
        <v>#VALUE!</v>
      </c>
      <c r="GS2" t="e">
        <f>AND(Sheet1!K15,"AAAAAHoXv8g=")</f>
        <v>#VALUE!</v>
      </c>
      <c r="GT2" t="e">
        <f>AND(Sheet1!L15,"AAAAAHoXv8k=")</f>
        <v>#VALUE!</v>
      </c>
      <c r="GU2" t="e">
        <f>AND(Sheet1!M15,"AAAAAHoXv8o=")</f>
        <v>#VALUE!</v>
      </c>
      <c r="GV2" t="e">
        <f>AND(Sheet1!N15,"AAAAAHoXv8s=")</f>
        <v>#VALUE!</v>
      </c>
      <c r="GW2" t="e">
        <f>AND(Sheet1!O15,"AAAAAHoXv8w=")</f>
        <v>#VALUE!</v>
      </c>
      <c r="GX2" t="e">
        <f>AND(Sheet1!P15,"AAAAAHoXv80=")</f>
        <v>#VALUE!</v>
      </c>
      <c r="GY2" t="e">
        <f>AND(Sheet1!Q15,"AAAAAHoXv84=")</f>
        <v>#VALUE!</v>
      </c>
      <c r="GZ2" t="e">
        <f>AND(Sheet1!R15,"AAAAAHoXv88=")</f>
        <v>#VALUE!</v>
      </c>
      <c r="HA2" t="e">
        <f>AND(Sheet1!S15,"AAAAAHoXv9A=")</f>
        <v>#VALUE!</v>
      </c>
      <c r="HB2" t="e">
        <f>AND(Sheet1!T15,"AAAAAHoXv9E=")</f>
        <v>#VALUE!</v>
      </c>
      <c r="HC2" t="e">
        <f>AND(Sheet1!U15,"AAAAAHoXv9I=")</f>
        <v>#VALUE!</v>
      </c>
      <c r="HD2" t="e">
        <f>AND(Sheet1!V15,"AAAAAHoXv9M=")</f>
        <v>#VALUE!</v>
      </c>
      <c r="HE2" t="e">
        <f>AND(Sheet1!W15,"AAAAAHoXv9Q=")</f>
        <v>#VALUE!</v>
      </c>
      <c r="HF2" t="e">
        <f>AND(Sheet1!X15,"AAAAAHoXv9U=")</f>
        <v>#VALUE!</v>
      </c>
      <c r="HG2" t="e">
        <f>AND(Sheet1!Y15,"AAAAAHoXv9Y=")</f>
        <v>#VALUE!</v>
      </c>
      <c r="HH2" t="e">
        <f>AND(Sheet1!Z15,"AAAAAHoXv9c=")</f>
        <v>#VALUE!</v>
      </c>
      <c r="HI2" t="e">
        <f>AND(Sheet1!AA15,"AAAAAHoXv9g=")</f>
        <v>#VALUE!</v>
      </c>
      <c r="HJ2" t="e">
        <f>AND(Sheet1!AB15,"AAAAAHoXv9k=")</f>
        <v>#VALUE!</v>
      </c>
      <c r="HK2">
        <f>IF(Sheet1!16:16,"AAAAAHoXv9o=",0)</f>
        <v>0</v>
      </c>
      <c r="HL2" t="e">
        <f>AND(Sheet1!A16,"AAAAAHoXv9s=")</f>
        <v>#VALUE!</v>
      </c>
      <c r="HM2" t="e">
        <f>AND(Sheet1!B16,"AAAAAHoXv9w=")</f>
        <v>#VALUE!</v>
      </c>
      <c r="HN2" t="e">
        <f>AND(Sheet1!C16,"AAAAAHoXv90=")</f>
        <v>#VALUE!</v>
      </c>
      <c r="HO2" t="e">
        <f>AND(Sheet1!D16,"AAAAAHoXv94=")</f>
        <v>#VALUE!</v>
      </c>
      <c r="HP2" t="e">
        <f>AND(Sheet1!E16,"AAAAAHoXv98=")</f>
        <v>#VALUE!</v>
      </c>
      <c r="HQ2" t="e">
        <f>AND(Sheet1!F16,"AAAAAHoXv+A=")</f>
        <v>#VALUE!</v>
      </c>
      <c r="HR2" t="e">
        <f>AND(Sheet1!G16,"AAAAAHoXv+E=")</f>
        <v>#VALUE!</v>
      </c>
      <c r="HS2" t="e">
        <f>AND(Sheet1!H16,"AAAAAHoXv+I=")</f>
        <v>#VALUE!</v>
      </c>
      <c r="HT2" t="e">
        <f>AND(Sheet1!I16,"AAAAAHoXv+M=")</f>
        <v>#VALUE!</v>
      </c>
      <c r="HU2" t="e">
        <f>AND(Sheet1!J16,"AAAAAHoXv+Q=")</f>
        <v>#VALUE!</v>
      </c>
      <c r="HV2" t="e">
        <f>AND(Sheet1!K16,"AAAAAHoXv+U=")</f>
        <v>#VALUE!</v>
      </c>
      <c r="HW2" t="e">
        <f>AND(Sheet1!L16,"AAAAAHoXv+Y=")</f>
        <v>#VALUE!</v>
      </c>
      <c r="HX2" t="e">
        <f>AND(Sheet1!M16,"AAAAAHoXv+c=")</f>
        <v>#VALUE!</v>
      </c>
      <c r="HY2" t="e">
        <f>AND(Sheet1!N16,"AAAAAHoXv+g=")</f>
        <v>#VALUE!</v>
      </c>
      <c r="HZ2" t="e">
        <f>AND(Sheet1!O16,"AAAAAHoXv+k=")</f>
        <v>#VALUE!</v>
      </c>
      <c r="IA2" t="e">
        <f>AND(Sheet1!P16,"AAAAAHoXv+o=")</f>
        <v>#VALUE!</v>
      </c>
      <c r="IB2" t="e">
        <f>AND(Sheet1!Q16,"AAAAAHoXv+s=")</f>
        <v>#VALUE!</v>
      </c>
      <c r="IC2" t="e">
        <f>AND(Sheet1!R16,"AAAAAHoXv+w=")</f>
        <v>#VALUE!</v>
      </c>
      <c r="ID2" t="e">
        <f>AND(Sheet1!S16,"AAAAAHoXv+0=")</f>
        <v>#VALUE!</v>
      </c>
      <c r="IE2" t="e">
        <f>AND(Sheet1!T16,"AAAAAHoXv+4=")</f>
        <v>#VALUE!</v>
      </c>
      <c r="IF2" t="e">
        <f>AND(Sheet1!U16,"AAAAAHoXv+8=")</f>
        <v>#VALUE!</v>
      </c>
      <c r="IG2" t="e">
        <f>AND(Sheet1!V16,"AAAAAHoXv/A=")</f>
        <v>#VALUE!</v>
      </c>
      <c r="IH2" t="e">
        <f>AND(Sheet1!W16,"AAAAAHoXv/E=")</f>
        <v>#VALUE!</v>
      </c>
      <c r="II2" t="e">
        <f>AND(Sheet1!X16,"AAAAAHoXv/I=")</f>
        <v>#VALUE!</v>
      </c>
      <c r="IJ2" t="e">
        <f>AND(Sheet1!Y16,"AAAAAHoXv/M=")</f>
        <v>#VALUE!</v>
      </c>
      <c r="IK2" t="e">
        <f>AND(Sheet1!Z16,"AAAAAHoXv/Q=")</f>
        <v>#VALUE!</v>
      </c>
      <c r="IL2" t="e">
        <f>AND(Sheet1!AA16,"AAAAAHoXv/U=")</f>
        <v>#VALUE!</v>
      </c>
      <c r="IM2" t="e">
        <f>AND(Sheet1!AB16,"AAAAAHoXv/Y=")</f>
        <v>#VALUE!</v>
      </c>
      <c r="IN2">
        <f>IF(Sheet1!17:17,"AAAAAHoXv/c=",0)</f>
        <v>0</v>
      </c>
      <c r="IO2" t="e">
        <f>AND(Sheet1!A17,"AAAAAHoXv/g=")</f>
        <v>#VALUE!</v>
      </c>
      <c r="IP2" t="e">
        <f>AND(Sheet1!B17,"AAAAAHoXv/k=")</f>
        <v>#VALUE!</v>
      </c>
      <c r="IQ2" t="e">
        <f>AND(Sheet1!C17,"AAAAAHoXv/o=")</f>
        <v>#VALUE!</v>
      </c>
      <c r="IR2" t="e">
        <f>AND(Sheet1!D17,"AAAAAHoXv/s=")</f>
        <v>#VALUE!</v>
      </c>
      <c r="IS2" t="e">
        <f>AND(Sheet1!E17,"AAAAAHoXv/w=")</f>
        <v>#VALUE!</v>
      </c>
      <c r="IT2" t="e">
        <f>AND(Sheet1!F17,"AAAAAHoXv/0=")</f>
        <v>#VALUE!</v>
      </c>
      <c r="IU2" t="e">
        <f>AND(Sheet1!G17,"AAAAAHoXv/4=")</f>
        <v>#VALUE!</v>
      </c>
      <c r="IV2" t="e">
        <f>AND(Sheet1!H17,"AAAAAHoXv/8=")</f>
        <v>#VALUE!</v>
      </c>
    </row>
    <row r="3" spans="1:256" ht="12.75">
      <c r="A3" t="e">
        <f>AND(Sheet1!I17,"AAAAAF6fewA=")</f>
        <v>#VALUE!</v>
      </c>
      <c r="B3" t="e">
        <f>AND(Sheet1!J17,"AAAAAF6fewE=")</f>
        <v>#VALUE!</v>
      </c>
      <c r="C3" t="e">
        <f>AND(Sheet1!K17,"AAAAAF6fewI=")</f>
        <v>#VALUE!</v>
      </c>
      <c r="D3" t="e">
        <f>AND(Sheet1!L17,"AAAAAF6fewM=")</f>
        <v>#VALUE!</v>
      </c>
      <c r="E3" t="e">
        <f>AND(Sheet1!M17,"AAAAAF6fewQ=")</f>
        <v>#VALUE!</v>
      </c>
      <c r="F3" t="e">
        <f>AND(Sheet1!N17,"AAAAAF6fewU=")</f>
        <v>#VALUE!</v>
      </c>
      <c r="G3" t="e">
        <f>AND(Sheet1!O17,"AAAAAF6fewY=")</f>
        <v>#VALUE!</v>
      </c>
      <c r="H3" t="e">
        <f>AND(Sheet1!P17,"AAAAAF6fewc=")</f>
        <v>#VALUE!</v>
      </c>
      <c r="I3" t="e">
        <f>AND(Sheet1!Q17,"AAAAAF6fewg=")</f>
        <v>#VALUE!</v>
      </c>
      <c r="J3" t="e">
        <f>AND(Sheet1!R17,"AAAAAF6fewk=")</f>
        <v>#VALUE!</v>
      </c>
      <c r="K3" t="e">
        <f>AND(Sheet1!S17,"AAAAAF6fewo=")</f>
        <v>#VALUE!</v>
      </c>
      <c r="L3" t="e">
        <f>AND(Sheet1!T17,"AAAAAF6fews=")</f>
        <v>#VALUE!</v>
      </c>
      <c r="M3" t="e">
        <f>AND(Sheet1!U17,"AAAAAF6feww=")</f>
        <v>#VALUE!</v>
      </c>
      <c r="N3" t="e">
        <f>AND(Sheet1!V17,"AAAAAF6few0=")</f>
        <v>#VALUE!</v>
      </c>
      <c r="O3" t="e">
        <f>AND(Sheet1!W17,"AAAAAF6few4=")</f>
        <v>#VALUE!</v>
      </c>
      <c r="P3" t="e">
        <f>AND(Sheet1!X17,"AAAAAF6few8=")</f>
        <v>#VALUE!</v>
      </c>
      <c r="Q3" t="e">
        <f>AND(Sheet1!Y17,"AAAAAF6fexA=")</f>
        <v>#VALUE!</v>
      </c>
      <c r="R3" t="e">
        <f>AND(Sheet1!Z17,"AAAAAF6fexE=")</f>
        <v>#VALUE!</v>
      </c>
      <c r="S3" t="e">
        <f>AND(Sheet1!AA17,"AAAAAF6fexI=")</f>
        <v>#VALUE!</v>
      </c>
      <c r="T3" t="e">
        <f>AND(Sheet1!AB17,"AAAAAF6fexM=")</f>
        <v>#VALUE!</v>
      </c>
      <c r="U3">
        <f>IF(Sheet1!18:18,"AAAAAF6fexQ=",0)</f>
        <v>0</v>
      </c>
      <c r="V3" t="e">
        <f>AND(Sheet1!A18,"AAAAAF6fexU=")</f>
        <v>#VALUE!</v>
      </c>
      <c r="W3" t="e">
        <f>AND(Sheet1!B18,"AAAAAF6fexY=")</f>
        <v>#VALUE!</v>
      </c>
      <c r="X3" t="e">
        <f>AND(Sheet1!C18,"AAAAAF6fexc=")</f>
        <v>#VALUE!</v>
      </c>
      <c r="Y3" t="e">
        <f>AND(Sheet1!D18,"AAAAAF6fexg=")</f>
        <v>#VALUE!</v>
      </c>
      <c r="Z3" t="e">
        <f>AND(Sheet1!E18,"AAAAAF6fexk=")</f>
        <v>#VALUE!</v>
      </c>
      <c r="AA3" t="e">
        <f>AND(Sheet1!F18,"AAAAAF6fexo=")</f>
        <v>#VALUE!</v>
      </c>
      <c r="AB3" t="e">
        <f>AND(Sheet1!G18,"AAAAAF6fexs=")</f>
        <v>#VALUE!</v>
      </c>
      <c r="AC3" t="e">
        <f>AND(Sheet1!H18,"AAAAAF6fexw=")</f>
        <v>#VALUE!</v>
      </c>
      <c r="AD3" t="e">
        <f>AND(Sheet1!I18,"AAAAAF6fex0=")</f>
        <v>#VALUE!</v>
      </c>
      <c r="AE3" t="e">
        <f>AND(Sheet1!J18,"AAAAAF6fex4=")</f>
        <v>#VALUE!</v>
      </c>
      <c r="AF3" t="e">
        <f>AND(Sheet1!K18,"AAAAAF6fex8=")</f>
        <v>#VALUE!</v>
      </c>
      <c r="AG3" t="e">
        <f>AND(Sheet1!L18,"AAAAAF6feyA=")</f>
        <v>#VALUE!</v>
      </c>
      <c r="AH3" t="e">
        <f>AND(Sheet1!M18,"AAAAAF6feyE=")</f>
        <v>#VALUE!</v>
      </c>
      <c r="AI3" t="e">
        <f>AND(Sheet1!N18,"AAAAAF6feyI=")</f>
        <v>#VALUE!</v>
      </c>
      <c r="AJ3" t="e">
        <f>AND(Sheet1!O18,"AAAAAF6feyM=")</f>
        <v>#VALUE!</v>
      </c>
      <c r="AK3" t="e">
        <f>AND(Sheet1!P18,"AAAAAF6feyQ=")</f>
        <v>#VALUE!</v>
      </c>
      <c r="AL3" t="e">
        <f>AND(Sheet1!Q18,"AAAAAF6feyU=")</f>
        <v>#VALUE!</v>
      </c>
      <c r="AM3" t="e">
        <f>AND(Sheet1!R18,"AAAAAF6feyY=")</f>
        <v>#VALUE!</v>
      </c>
      <c r="AN3" t="e">
        <f>AND(Sheet1!S18,"AAAAAF6feyc=")</f>
        <v>#VALUE!</v>
      </c>
      <c r="AO3" t="e">
        <f>AND(Sheet1!T18,"AAAAAF6feyg=")</f>
        <v>#VALUE!</v>
      </c>
      <c r="AP3" t="e">
        <f>AND(Sheet1!U18,"AAAAAF6feyk=")</f>
        <v>#VALUE!</v>
      </c>
      <c r="AQ3" t="e">
        <f>AND(Sheet1!V18,"AAAAAF6feyo=")</f>
        <v>#VALUE!</v>
      </c>
      <c r="AR3" t="e">
        <f>AND(Sheet1!W18,"AAAAAF6feys=")</f>
        <v>#VALUE!</v>
      </c>
      <c r="AS3" t="e">
        <f>AND(Sheet1!X18,"AAAAAF6feyw=")</f>
        <v>#VALUE!</v>
      </c>
      <c r="AT3" t="e">
        <f>AND(Sheet1!Y18,"AAAAAF6fey0=")</f>
        <v>#VALUE!</v>
      </c>
      <c r="AU3" t="e">
        <f>AND(Sheet1!Z18,"AAAAAF6fey4=")</f>
        <v>#VALUE!</v>
      </c>
      <c r="AV3" t="e">
        <f>AND(Sheet1!AA18,"AAAAAF6fey8=")</f>
        <v>#VALUE!</v>
      </c>
      <c r="AW3" t="e">
        <f>AND(Sheet1!AB18,"AAAAAF6fezA=")</f>
        <v>#VALUE!</v>
      </c>
      <c r="AX3">
        <f>IF(Sheet1!19:19,"AAAAAF6fezE=",0)</f>
        <v>0</v>
      </c>
      <c r="AY3" t="e">
        <f>AND(Sheet1!A19,"AAAAAF6fezI=")</f>
        <v>#VALUE!</v>
      </c>
      <c r="AZ3" t="e">
        <f>AND(Sheet1!B19,"AAAAAF6fezM=")</f>
        <v>#VALUE!</v>
      </c>
      <c r="BA3" t="e">
        <f>AND(Sheet1!C19,"AAAAAF6fezQ=")</f>
        <v>#VALUE!</v>
      </c>
      <c r="BB3" t="e">
        <f>AND(Sheet1!D19,"AAAAAF6fezU=")</f>
        <v>#VALUE!</v>
      </c>
      <c r="BC3" t="e">
        <f>AND(Sheet1!E19,"AAAAAF6fezY=")</f>
        <v>#VALUE!</v>
      </c>
      <c r="BD3" t="e">
        <f>AND(Sheet1!F19,"AAAAAF6fezc=")</f>
        <v>#VALUE!</v>
      </c>
      <c r="BE3" t="e">
        <f>AND(Sheet1!G19,"AAAAAF6fezg=")</f>
        <v>#VALUE!</v>
      </c>
      <c r="BF3" t="e">
        <f>AND(Sheet1!H19,"AAAAAF6fezk=")</f>
        <v>#VALUE!</v>
      </c>
      <c r="BG3" t="e">
        <f>AND(Sheet1!I19,"AAAAAF6fezo=")</f>
        <v>#VALUE!</v>
      </c>
      <c r="BH3" t="e">
        <f>AND(Sheet1!J19,"AAAAAF6fezs=")</f>
        <v>#VALUE!</v>
      </c>
      <c r="BI3" t="e">
        <f>AND(Sheet1!K19,"AAAAAF6fezw=")</f>
        <v>#VALUE!</v>
      </c>
      <c r="BJ3" t="e">
        <f>AND(Sheet1!L19,"AAAAAF6fez0=")</f>
        <v>#VALUE!</v>
      </c>
      <c r="BK3" t="e">
        <f>AND(Sheet1!M19,"AAAAAF6fez4=")</f>
        <v>#VALUE!</v>
      </c>
      <c r="BL3" t="e">
        <f>AND(Sheet1!N19,"AAAAAF6fez8=")</f>
        <v>#VALUE!</v>
      </c>
      <c r="BM3" t="e">
        <f>AND(Sheet1!O19,"AAAAAF6fe0A=")</f>
        <v>#VALUE!</v>
      </c>
      <c r="BN3" t="e">
        <f>AND(Sheet1!P19,"AAAAAF6fe0E=")</f>
        <v>#VALUE!</v>
      </c>
      <c r="BO3" t="e">
        <f>AND(Sheet1!Q19,"AAAAAF6fe0I=")</f>
        <v>#VALUE!</v>
      </c>
      <c r="BP3" t="e">
        <f>AND(Sheet1!R19,"AAAAAF6fe0M=")</f>
        <v>#VALUE!</v>
      </c>
      <c r="BQ3" t="e">
        <f>AND(Sheet1!S19,"AAAAAF6fe0Q=")</f>
        <v>#VALUE!</v>
      </c>
      <c r="BR3" t="e">
        <f>AND(Sheet1!T19,"AAAAAF6fe0U=")</f>
        <v>#VALUE!</v>
      </c>
      <c r="BS3" t="e">
        <f>AND(Sheet1!U19,"AAAAAF6fe0Y=")</f>
        <v>#VALUE!</v>
      </c>
      <c r="BT3" t="e">
        <f>AND(Sheet1!V19,"AAAAAF6fe0c=")</f>
        <v>#VALUE!</v>
      </c>
      <c r="BU3" t="e">
        <f>AND(Sheet1!W19,"AAAAAF6fe0g=")</f>
        <v>#VALUE!</v>
      </c>
      <c r="BV3" t="e">
        <f>AND(Sheet1!X19,"AAAAAF6fe0k=")</f>
        <v>#VALUE!</v>
      </c>
      <c r="BW3" t="e">
        <f>AND(Sheet1!Y19,"AAAAAF6fe0o=")</f>
        <v>#VALUE!</v>
      </c>
      <c r="BX3" t="e">
        <f>AND(Sheet1!Z19,"AAAAAF6fe0s=")</f>
        <v>#VALUE!</v>
      </c>
      <c r="BY3" t="e">
        <f>AND(Sheet1!AA19,"AAAAAF6fe0w=")</f>
        <v>#VALUE!</v>
      </c>
      <c r="BZ3" t="e">
        <f>AND(Sheet1!AB19,"AAAAAF6fe00=")</f>
        <v>#VALUE!</v>
      </c>
      <c r="CA3">
        <f>IF(Sheet1!20:20,"AAAAAF6fe04=",0)</f>
        <v>0</v>
      </c>
      <c r="CB3" t="e">
        <f>AND(Sheet1!A20,"AAAAAF6fe08=")</f>
        <v>#VALUE!</v>
      </c>
      <c r="CC3" t="e">
        <f>AND(Sheet1!B20,"AAAAAF6fe1A=")</f>
        <v>#VALUE!</v>
      </c>
      <c r="CD3" t="e">
        <f>AND(Sheet1!C20,"AAAAAF6fe1E=")</f>
        <v>#VALUE!</v>
      </c>
      <c r="CE3" t="e">
        <f>AND(Sheet1!D20,"AAAAAF6fe1I=")</f>
        <v>#VALUE!</v>
      </c>
      <c r="CF3" t="e">
        <f>AND(Sheet1!E20,"AAAAAF6fe1M=")</f>
        <v>#VALUE!</v>
      </c>
      <c r="CG3" t="e">
        <f>AND(Sheet1!F20,"AAAAAF6fe1Q=")</f>
        <v>#VALUE!</v>
      </c>
      <c r="CH3" t="e">
        <f>AND(Sheet1!G20,"AAAAAF6fe1U=")</f>
        <v>#VALUE!</v>
      </c>
      <c r="CI3" t="e">
        <f>AND(Sheet1!H20,"AAAAAF6fe1Y=")</f>
        <v>#VALUE!</v>
      </c>
      <c r="CJ3" t="e">
        <f>AND(Sheet1!I20,"AAAAAF6fe1c=")</f>
        <v>#VALUE!</v>
      </c>
      <c r="CK3" t="e">
        <f>AND(Sheet1!J20,"AAAAAF6fe1g=")</f>
        <v>#VALUE!</v>
      </c>
      <c r="CL3" t="e">
        <f>AND(Sheet1!K20,"AAAAAF6fe1k=")</f>
        <v>#VALUE!</v>
      </c>
      <c r="CM3" t="e">
        <f>AND(Sheet1!L20,"AAAAAF6fe1o=")</f>
        <v>#VALUE!</v>
      </c>
      <c r="CN3" t="e">
        <f>AND(Sheet1!M20,"AAAAAF6fe1s=")</f>
        <v>#VALUE!</v>
      </c>
      <c r="CO3" t="e">
        <f>AND(Sheet1!N20,"AAAAAF6fe1w=")</f>
        <v>#VALUE!</v>
      </c>
      <c r="CP3" t="e">
        <f>AND(Sheet1!O20,"AAAAAF6fe10=")</f>
        <v>#VALUE!</v>
      </c>
      <c r="CQ3" t="e">
        <f>AND(Sheet1!P20,"AAAAAF6fe14=")</f>
        <v>#VALUE!</v>
      </c>
      <c r="CR3" t="e">
        <f>AND(Sheet1!Q20,"AAAAAF6fe18=")</f>
        <v>#VALUE!</v>
      </c>
      <c r="CS3" t="e">
        <f>AND(Sheet1!R20,"AAAAAF6fe2A=")</f>
        <v>#VALUE!</v>
      </c>
      <c r="CT3" t="e">
        <f>AND(Sheet1!S20,"AAAAAF6fe2E=")</f>
        <v>#VALUE!</v>
      </c>
      <c r="CU3" t="e">
        <f>AND(Sheet1!T20,"AAAAAF6fe2I=")</f>
        <v>#VALUE!</v>
      </c>
      <c r="CV3" t="e">
        <f>AND(Sheet1!U20,"AAAAAF6fe2M=")</f>
        <v>#VALUE!</v>
      </c>
      <c r="CW3" t="e">
        <f>AND(Sheet1!V20,"AAAAAF6fe2Q=")</f>
        <v>#VALUE!</v>
      </c>
      <c r="CX3" t="e">
        <f>AND(Sheet1!W20,"AAAAAF6fe2U=")</f>
        <v>#VALUE!</v>
      </c>
      <c r="CY3" t="e">
        <f>AND(Sheet1!X20,"AAAAAF6fe2Y=")</f>
        <v>#VALUE!</v>
      </c>
      <c r="CZ3" t="e">
        <f>AND(Sheet1!Y20,"AAAAAF6fe2c=")</f>
        <v>#VALUE!</v>
      </c>
      <c r="DA3" t="e">
        <f>AND(Sheet1!Z20,"AAAAAF6fe2g=")</f>
        <v>#VALUE!</v>
      </c>
      <c r="DB3" t="e">
        <f>AND(Sheet1!AA20,"AAAAAF6fe2k=")</f>
        <v>#VALUE!</v>
      </c>
      <c r="DC3" t="e">
        <f>AND(Sheet1!AB20,"AAAAAF6fe2o=")</f>
        <v>#VALUE!</v>
      </c>
      <c r="DD3">
        <f>IF(Sheet1!21:21,"AAAAAF6fe2s=",0)</f>
        <v>0</v>
      </c>
      <c r="DE3" t="e">
        <f>AND(Sheet1!A21,"AAAAAF6fe2w=")</f>
        <v>#VALUE!</v>
      </c>
      <c r="DF3" t="e">
        <f>AND(Sheet1!B21,"AAAAAF6fe20=")</f>
        <v>#VALUE!</v>
      </c>
      <c r="DG3" t="e">
        <f>AND(Sheet1!C21,"AAAAAF6fe24=")</f>
        <v>#VALUE!</v>
      </c>
      <c r="DH3" t="e">
        <f>AND(Sheet1!D21,"AAAAAF6fe28=")</f>
        <v>#VALUE!</v>
      </c>
      <c r="DI3" t="e">
        <f>AND(Sheet1!E21,"AAAAAF6fe3A=")</f>
        <v>#VALUE!</v>
      </c>
      <c r="DJ3" t="e">
        <f>AND(Sheet1!F21,"AAAAAF6fe3E=")</f>
        <v>#VALUE!</v>
      </c>
      <c r="DK3" t="e">
        <f>AND(Sheet1!G21,"AAAAAF6fe3I=")</f>
        <v>#VALUE!</v>
      </c>
      <c r="DL3" t="e">
        <f>AND(Sheet1!H21,"AAAAAF6fe3M=")</f>
        <v>#VALUE!</v>
      </c>
      <c r="DM3" t="e">
        <f>AND(Sheet1!I21,"AAAAAF6fe3Q=")</f>
        <v>#VALUE!</v>
      </c>
      <c r="DN3" t="e">
        <f>AND(Sheet1!J21,"AAAAAF6fe3U=")</f>
        <v>#VALUE!</v>
      </c>
      <c r="DO3" t="e">
        <f>AND(Sheet1!K21,"AAAAAF6fe3Y=")</f>
        <v>#VALUE!</v>
      </c>
      <c r="DP3" t="e">
        <f>AND(Sheet1!L21,"AAAAAF6fe3c=")</f>
        <v>#VALUE!</v>
      </c>
      <c r="DQ3" t="e">
        <f>AND(Sheet1!M21,"AAAAAF6fe3g=")</f>
        <v>#VALUE!</v>
      </c>
      <c r="DR3" t="e">
        <f>AND(Sheet1!N21,"AAAAAF6fe3k=")</f>
        <v>#VALUE!</v>
      </c>
      <c r="DS3" t="e">
        <f>AND(Sheet1!O21,"AAAAAF6fe3o=")</f>
        <v>#VALUE!</v>
      </c>
      <c r="DT3" t="e">
        <f>AND(Sheet1!P21,"AAAAAF6fe3s=")</f>
        <v>#VALUE!</v>
      </c>
      <c r="DU3" t="e">
        <f>AND(Sheet1!Q21,"AAAAAF6fe3w=")</f>
        <v>#VALUE!</v>
      </c>
      <c r="DV3" t="e">
        <f>AND(Sheet1!R21,"AAAAAF6fe30=")</f>
        <v>#VALUE!</v>
      </c>
      <c r="DW3" t="e">
        <f>AND(Sheet1!S21,"AAAAAF6fe34=")</f>
        <v>#VALUE!</v>
      </c>
      <c r="DX3" t="e">
        <f>AND(Sheet1!T21,"AAAAAF6fe38=")</f>
        <v>#VALUE!</v>
      </c>
      <c r="DY3" t="e">
        <f>AND(Sheet1!U21,"AAAAAF6fe4A=")</f>
        <v>#VALUE!</v>
      </c>
      <c r="DZ3" t="e">
        <f>AND(Sheet1!V21,"AAAAAF6fe4E=")</f>
        <v>#VALUE!</v>
      </c>
      <c r="EA3" t="e">
        <f>AND(Sheet1!W21,"AAAAAF6fe4I=")</f>
        <v>#VALUE!</v>
      </c>
      <c r="EB3" t="e">
        <f>AND(Sheet1!X21,"AAAAAF6fe4M=")</f>
        <v>#VALUE!</v>
      </c>
      <c r="EC3" t="e">
        <f>AND(Sheet1!Y21,"AAAAAF6fe4Q=")</f>
        <v>#VALUE!</v>
      </c>
      <c r="ED3" t="e">
        <f>AND(Sheet1!Z21,"AAAAAF6fe4U=")</f>
        <v>#VALUE!</v>
      </c>
      <c r="EE3" t="e">
        <f>AND(Sheet1!AA21,"AAAAAF6fe4Y=")</f>
        <v>#VALUE!</v>
      </c>
      <c r="EF3" t="e">
        <f>AND(Sheet1!AB21,"AAAAAF6fe4c=")</f>
        <v>#VALUE!</v>
      </c>
      <c r="EG3">
        <f>IF(Sheet1!22:22,"AAAAAF6fe4g=",0)</f>
        <v>0</v>
      </c>
      <c r="EH3" t="e">
        <f>AND(Sheet1!A22,"AAAAAF6fe4k=")</f>
        <v>#VALUE!</v>
      </c>
      <c r="EI3" t="e">
        <f>AND(Sheet1!B22,"AAAAAF6fe4o=")</f>
        <v>#VALUE!</v>
      </c>
      <c r="EJ3" t="e">
        <f>AND(Sheet1!C22,"AAAAAF6fe4s=")</f>
        <v>#VALUE!</v>
      </c>
      <c r="EK3" t="e">
        <f>AND(Sheet1!D22,"AAAAAF6fe4w=")</f>
        <v>#VALUE!</v>
      </c>
      <c r="EL3" t="e">
        <f>AND(Sheet1!E22,"AAAAAF6fe40=")</f>
        <v>#VALUE!</v>
      </c>
      <c r="EM3" t="e">
        <f>AND(Sheet1!F22,"AAAAAF6fe44=")</f>
        <v>#VALUE!</v>
      </c>
      <c r="EN3" t="e">
        <f>AND(Sheet1!G22,"AAAAAF6fe48=")</f>
        <v>#VALUE!</v>
      </c>
      <c r="EO3" t="e">
        <f>AND(Sheet1!H22,"AAAAAF6fe5A=")</f>
        <v>#VALUE!</v>
      </c>
      <c r="EP3" t="e">
        <f>AND(Sheet1!I22,"AAAAAF6fe5E=")</f>
        <v>#VALUE!</v>
      </c>
      <c r="EQ3" t="e">
        <f>AND(Sheet1!J22,"AAAAAF6fe5I=")</f>
        <v>#VALUE!</v>
      </c>
      <c r="ER3" t="e">
        <f>AND(Sheet1!K22,"AAAAAF6fe5M=")</f>
        <v>#VALUE!</v>
      </c>
      <c r="ES3" t="e">
        <f>AND(Sheet1!L22,"AAAAAF6fe5Q=")</f>
        <v>#VALUE!</v>
      </c>
      <c r="ET3" t="e">
        <f>AND(Sheet1!M22,"AAAAAF6fe5U=")</f>
        <v>#VALUE!</v>
      </c>
      <c r="EU3" t="e">
        <f>AND(Sheet1!N22,"AAAAAF6fe5Y=")</f>
        <v>#VALUE!</v>
      </c>
      <c r="EV3" t="e">
        <f>AND(Sheet1!O22,"AAAAAF6fe5c=")</f>
        <v>#VALUE!</v>
      </c>
      <c r="EW3" t="e">
        <f>AND(Sheet1!P22,"AAAAAF6fe5g=")</f>
        <v>#VALUE!</v>
      </c>
      <c r="EX3" t="e">
        <f>AND(Sheet1!Q22,"AAAAAF6fe5k=")</f>
        <v>#VALUE!</v>
      </c>
      <c r="EY3" t="e">
        <f>AND(Sheet1!R22,"AAAAAF6fe5o=")</f>
        <v>#VALUE!</v>
      </c>
      <c r="EZ3" t="e">
        <f>AND(Sheet1!S22,"AAAAAF6fe5s=")</f>
        <v>#VALUE!</v>
      </c>
      <c r="FA3" t="e">
        <f>AND(Sheet1!T22,"AAAAAF6fe5w=")</f>
        <v>#VALUE!</v>
      </c>
      <c r="FB3" t="e">
        <f>AND(Sheet1!U22,"AAAAAF6fe50=")</f>
        <v>#VALUE!</v>
      </c>
      <c r="FC3" t="e">
        <f>AND(Sheet1!V22,"AAAAAF6fe54=")</f>
        <v>#VALUE!</v>
      </c>
      <c r="FD3" t="e">
        <f>AND(Sheet1!W22,"AAAAAF6fe58=")</f>
        <v>#VALUE!</v>
      </c>
      <c r="FE3" t="e">
        <f>AND(Sheet1!X22,"AAAAAF6fe6A=")</f>
        <v>#VALUE!</v>
      </c>
      <c r="FF3" t="e">
        <f>AND(Sheet1!Y22,"AAAAAF6fe6E=")</f>
        <v>#VALUE!</v>
      </c>
      <c r="FG3" t="e">
        <f>AND(Sheet1!Z22,"AAAAAF6fe6I=")</f>
        <v>#VALUE!</v>
      </c>
      <c r="FH3" t="e">
        <f>AND(Sheet1!AA22,"AAAAAF6fe6M=")</f>
        <v>#VALUE!</v>
      </c>
      <c r="FI3" t="e">
        <f>AND(Sheet1!AB22,"AAAAAF6fe6Q=")</f>
        <v>#VALUE!</v>
      </c>
      <c r="FJ3">
        <f>IF(Sheet1!23:23,"AAAAAF6fe6U=",0)</f>
        <v>0</v>
      </c>
      <c r="FK3" t="e">
        <f>AND(Sheet1!A23,"AAAAAF6fe6Y=")</f>
        <v>#VALUE!</v>
      </c>
      <c r="FL3" t="e">
        <f>AND(Sheet1!B23,"AAAAAF6fe6c=")</f>
        <v>#VALUE!</v>
      </c>
      <c r="FM3" t="e">
        <f>AND(Sheet1!C23,"AAAAAF6fe6g=")</f>
        <v>#VALUE!</v>
      </c>
      <c r="FN3" t="e">
        <f>AND(Sheet1!D23,"AAAAAF6fe6k=")</f>
        <v>#VALUE!</v>
      </c>
      <c r="FO3" t="e">
        <f>AND(Sheet1!E23,"AAAAAF6fe6o=")</f>
        <v>#VALUE!</v>
      </c>
      <c r="FP3" t="e">
        <f>AND(Sheet1!F23,"AAAAAF6fe6s=")</f>
        <v>#VALUE!</v>
      </c>
      <c r="FQ3" t="e">
        <f>AND(Sheet1!G23,"AAAAAF6fe6w=")</f>
        <v>#VALUE!</v>
      </c>
      <c r="FR3" t="e">
        <f>AND(Sheet1!H23,"AAAAAF6fe60=")</f>
        <v>#VALUE!</v>
      </c>
      <c r="FS3" t="e">
        <f>AND(Sheet1!I23,"AAAAAF6fe64=")</f>
        <v>#VALUE!</v>
      </c>
      <c r="FT3" t="e">
        <f>AND(Sheet1!J23,"AAAAAF6fe68=")</f>
        <v>#VALUE!</v>
      </c>
      <c r="FU3" t="e">
        <f>AND(Sheet1!K23,"AAAAAF6fe7A=")</f>
        <v>#VALUE!</v>
      </c>
      <c r="FV3" t="e">
        <f>AND(Sheet1!L23,"AAAAAF6fe7E=")</f>
        <v>#VALUE!</v>
      </c>
      <c r="FW3" t="e">
        <f>AND(Sheet1!M23,"AAAAAF6fe7I=")</f>
        <v>#VALUE!</v>
      </c>
      <c r="FX3" t="e">
        <f>AND(Sheet1!N23,"AAAAAF6fe7M=")</f>
        <v>#VALUE!</v>
      </c>
      <c r="FY3" t="e">
        <f>AND(Sheet1!O23,"AAAAAF6fe7Q=")</f>
        <v>#VALUE!</v>
      </c>
      <c r="FZ3" t="e">
        <f>AND(Sheet1!P23,"AAAAAF6fe7U=")</f>
        <v>#VALUE!</v>
      </c>
      <c r="GA3" t="e">
        <f>AND(Sheet1!Q23,"AAAAAF6fe7Y=")</f>
        <v>#VALUE!</v>
      </c>
      <c r="GB3" t="e">
        <f>AND(Sheet1!R23,"AAAAAF6fe7c=")</f>
        <v>#VALUE!</v>
      </c>
      <c r="GC3" t="e">
        <f>AND(Sheet1!S23,"AAAAAF6fe7g=")</f>
        <v>#VALUE!</v>
      </c>
      <c r="GD3" t="e">
        <f>AND(Sheet1!T23,"AAAAAF6fe7k=")</f>
        <v>#VALUE!</v>
      </c>
      <c r="GE3" t="e">
        <f>AND(Sheet1!U23,"AAAAAF6fe7o=")</f>
        <v>#VALUE!</v>
      </c>
      <c r="GF3" t="e">
        <f>AND(Sheet1!V23,"AAAAAF6fe7s=")</f>
        <v>#VALUE!</v>
      </c>
      <c r="GG3" t="e">
        <f>AND(Sheet1!W23,"AAAAAF6fe7w=")</f>
        <v>#VALUE!</v>
      </c>
      <c r="GH3" t="e">
        <f>AND(Sheet1!X23,"AAAAAF6fe70=")</f>
        <v>#VALUE!</v>
      </c>
      <c r="GI3" t="e">
        <f>AND(Sheet1!Y23,"AAAAAF6fe74=")</f>
        <v>#VALUE!</v>
      </c>
      <c r="GJ3" t="e">
        <f>AND(Sheet1!Z23,"AAAAAF6fe78=")</f>
        <v>#VALUE!</v>
      </c>
      <c r="GK3" t="e">
        <f>AND(Sheet1!AA23,"AAAAAF6fe8A=")</f>
        <v>#VALUE!</v>
      </c>
      <c r="GL3" t="e">
        <f>AND(Sheet1!AB23,"AAAAAF6fe8E=")</f>
        <v>#VALUE!</v>
      </c>
      <c r="GM3">
        <f>IF(Sheet1!24:24,"AAAAAF6fe8I=",0)</f>
        <v>0</v>
      </c>
      <c r="GN3" t="e">
        <f>AND(Sheet1!A24,"AAAAAF6fe8M=")</f>
        <v>#VALUE!</v>
      </c>
      <c r="GO3" t="e">
        <f>AND(Sheet1!B24,"AAAAAF6fe8Q=")</f>
        <v>#VALUE!</v>
      </c>
      <c r="GP3" t="e">
        <f>AND(Sheet1!C24,"AAAAAF6fe8U=")</f>
        <v>#VALUE!</v>
      </c>
      <c r="GQ3" t="e">
        <f>AND(Sheet1!D24,"AAAAAF6fe8Y=")</f>
        <v>#VALUE!</v>
      </c>
      <c r="GR3" t="e">
        <f>AND(Sheet1!E24,"AAAAAF6fe8c=")</f>
        <v>#VALUE!</v>
      </c>
      <c r="GS3" t="e">
        <f>AND(Sheet1!F24,"AAAAAF6fe8g=")</f>
        <v>#VALUE!</v>
      </c>
      <c r="GT3" t="e">
        <f>AND(Sheet1!G24,"AAAAAF6fe8k=")</f>
        <v>#VALUE!</v>
      </c>
      <c r="GU3" t="e">
        <f>AND(Sheet1!H24,"AAAAAF6fe8o=")</f>
        <v>#VALUE!</v>
      </c>
      <c r="GV3" t="e">
        <f>AND(Sheet1!I24,"AAAAAF6fe8s=")</f>
        <v>#VALUE!</v>
      </c>
      <c r="GW3" t="e">
        <f>AND(Sheet1!J24,"AAAAAF6fe8w=")</f>
        <v>#VALUE!</v>
      </c>
      <c r="GX3" t="e">
        <f>AND(Sheet1!K24,"AAAAAF6fe80=")</f>
        <v>#VALUE!</v>
      </c>
      <c r="GY3" t="e">
        <f>AND(Sheet1!L24,"AAAAAF6fe84=")</f>
        <v>#VALUE!</v>
      </c>
      <c r="GZ3" t="e">
        <f>AND(Sheet1!M24,"AAAAAF6fe88=")</f>
        <v>#VALUE!</v>
      </c>
      <c r="HA3" t="e">
        <f>AND(Sheet1!N24,"AAAAAF6fe9A=")</f>
        <v>#VALUE!</v>
      </c>
      <c r="HB3" t="e">
        <f>AND(Sheet1!O24,"AAAAAF6fe9E=")</f>
        <v>#VALUE!</v>
      </c>
      <c r="HC3" t="e">
        <f>AND(Sheet1!P24,"AAAAAF6fe9I=")</f>
        <v>#VALUE!</v>
      </c>
      <c r="HD3" t="e">
        <f>AND(Sheet1!Q24,"AAAAAF6fe9M=")</f>
        <v>#VALUE!</v>
      </c>
      <c r="HE3" t="e">
        <f>AND(Sheet1!R24,"AAAAAF6fe9Q=")</f>
        <v>#VALUE!</v>
      </c>
      <c r="HF3" t="e">
        <f>AND(Sheet1!S24,"AAAAAF6fe9U=")</f>
        <v>#VALUE!</v>
      </c>
      <c r="HG3" t="e">
        <f>AND(Sheet1!T24,"AAAAAF6fe9Y=")</f>
        <v>#VALUE!</v>
      </c>
      <c r="HH3" t="e">
        <f>AND(Sheet1!U24,"AAAAAF6fe9c=")</f>
        <v>#VALUE!</v>
      </c>
      <c r="HI3" t="e">
        <f>AND(Sheet1!V24,"AAAAAF6fe9g=")</f>
        <v>#VALUE!</v>
      </c>
      <c r="HJ3" t="e">
        <f>AND(Sheet1!W24,"AAAAAF6fe9k=")</f>
        <v>#VALUE!</v>
      </c>
      <c r="HK3" t="e">
        <f>AND(Sheet1!X24,"AAAAAF6fe9o=")</f>
        <v>#VALUE!</v>
      </c>
      <c r="HL3" t="e">
        <f>AND(Sheet1!Y24,"AAAAAF6fe9s=")</f>
        <v>#VALUE!</v>
      </c>
      <c r="HM3" t="e">
        <f>AND(Sheet1!Z24,"AAAAAF6fe9w=")</f>
        <v>#VALUE!</v>
      </c>
      <c r="HN3" t="e">
        <f>AND(Sheet1!AA24,"AAAAAF6fe90=")</f>
        <v>#VALUE!</v>
      </c>
      <c r="HO3" t="e">
        <f>AND(Sheet1!AB24,"AAAAAF6fe94=")</f>
        <v>#VALUE!</v>
      </c>
      <c r="HP3">
        <f>IF(Sheet1!25:25,"AAAAAF6fe98=",0)</f>
        <v>0</v>
      </c>
      <c r="HQ3" t="e">
        <f>AND(Sheet1!A25,"AAAAAF6fe+A=")</f>
        <v>#VALUE!</v>
      </c>
      <c r="HR3" t="e">
        <f>AND(Sheet1!B25,"AAAAAF6fe+E=")</f>
        <v>#VALUE!</v>
      </c>
      <c r="HS3" t="e">
        <f>AND(Sheet1!C25,"AAAAAF6fe+I=")</f>
        <v>#VALUE!</v>
      </c>
      <c r="HT3" t="e">
        <f>AND(Sheet1!D25,"AAAAAF6fe+M=")</f>
        <v>#VALUE!</v>
      </c>
      <c r="HU3" t="e">
        <f>AND(Sheet1!E25,"AAAAAF6fe+Q=")</f>
        <v>#VALUE!</v>
      </c>
      <c r="HV3" t="e">
        <f>AND(Sheet1!F25,"AAAAAF6fe+U=")</f>
        <v>#VALUE!</v>
      </c>
      <c r="HW3" t="e">
        <f>AND(Sheet1!G25,"AAAAAF6fe+Y=")</f>
        <v>#VALUE!</v>
      </c>
      <c r="HX3" t="e">
        <f>AND(Sheet1!H25,"AAAAAF6fe+c=")</f>
        <v>#VALUE!</v>
      </c>
      <c r="HY3" t="e">
        <f>AND(Sheet1!I25,"AAAAAF6fe+g=")</f>
        <v>#VALUE!</v>
      </c>
      <c r="HZ3" t="e">
        <f>AND(Sheet1!J25,"AAAAAF6fe+k=")</f>
        <v>#VALUE!</v>
      </c>
      <c r="IA3" t="e">
        <f>AND(Sheet1!K25,"AAAAAF6fe+o=")</f>
        <v>#VALUE!</v>
      </c>
      <c r="IB3" t="e">
        <f>AND(Sheet1!L25,"AAAAAF6fe+s=")</f>
        <v>#VALUE!</v>
      </c>
      <c r="IC3" t="e">
        <f>AND(Sheet1!M25,"AAAAAF6fe+w=")</f>
        <v>#VALUE!</v>
      </c>
      <c r="ID3" t="e">
        <f>AND(Sheet1!N25,"AAAAAF6fe+0=")</f>
        <v>#VALUE!</v>
      </c>
      <c r="IE3" t="e">
        <f>AND(Sheet1!O25,"AAAAAF6fe+4=")</f>
        <v>#VALUE!</v>
      </c>
      <c r="IF3" t="e">
        <f>AND(Sheet1!P25,"AAAAAF6fe+8=")</f>
        <v>#VALUE!</v>
      </c>
      <c r="IG3" t="e">
        <f>AND(Sheet1!Q25,"AAAAAF6fe/A=")</f>
        <v>#VALUE!</v>
      </c>
      <c r="IH3" t="e">
        <f>AND(Sheet1!R25,"AAAAAF6fe/E=")</f>
        <v>#VALUE!</v>
      </c>
      <c r="II3" t="e">
        <f>AND(Sheet1!S25,"AAAAAF6fe/I=")</f>
        <v>#VALUE!</v>
      </c>
      <c r="IJ3" t="e">
        <f>AND(Sheet1!T25,"AAAAAF6fe/M=")</f>
        <v>#VALUE!</v>
      </c>
      <c r="IK3" t="e">
        <f>AND(Sheet1!U25,"AAAAAF6fe/Q=")</f>
        <v>#VALUE!</v>
      </c>
      <c r="IL3" t="e">
        <f>AND(Sheet1!V25,"AAAAAF6fe/U=")</f>
        <v>#VALUE!</v>
      </c>
      <c r="IM3" t="e">
        <f>AND(Sheet1!W25,"AAAAAF6fe/Y=")</f>
        <v>#VALUE!</v>
      </c>
      <c r="IN3" t="e">
        <f>AND(Sheet1!X25,"AAAAAF6fe/c=")</f>
        <v>#VALUE!</v>
      </c>
      <c r="IO3" t="e">
        <f>AND(Sheet1!Y25,"AAAAAF6fe/g=")</f>
        <v>#VALUE!</v>
      </c>
      <c r="IP3" t="e">
        <f>AND(Sheet1!Z25,"AAAAAF6fe/k=")</f>
        <v>#VALUE!</v>
      </c>
      <c r="IQ3" t="e">
        <f>AND(Sheet1!AA25,"AAAAAF6fe/o=")</f>
        <v>#VALUE!</v>
      </c>
      <c r="IR3" t="e">
        <f>AND(Sheet1!AB25,"AAAAAF6fe/s=")</f>
        <v>#VALUE!</v>
      </c>
      <c r="IS3">
        <f>IF(Sheet1!26:26,"AAAAAF6fe/w=",0)</f>
        <v>0</v>
      </c>
      <c r="IT3" t="e">
        <f>AND(Sheet1!A26,"AAAAAF6fe/0=")</f>
        <v>#VALUE!</v>
      </c>
      <c r="IU3" t="e">
        <f>AND(Sheet1!B26,"AAAAAF6fe/4=")</f>
        <v>#VALUE!</v>
      </c>
      <c r="IV3" t="e">
        <f>AND(Sheet1!C26,"AAAAAF6fe/8=")</f>
        <v>#VALUE!</v>
      </c>
    </row>
    <row r="4" spans="1:256" ht="12.75">
      <c r="A4" t="e">
        <f>AND(Sheet1!D26,"AAAAAH/v2QA=")</f>
        <v>#VALUE!</v>
      </c>
      <c r="B4" t="e">
        <f>AND(Sheet1!E26,"AAAAAH/v2QE=")</f>
        <v>#VALUE!</v>
      </c>
      <c r="C4" t="e">
        <f>AND(Sheet1!F26,"AAAAAH/v2QI=")</f>
        <v>#VALUE!</v>
      </c>
      <c r="D4" t="e">
        <f>AND(Sheet1!G26,"AAAAAH/v2QM=")</f>
        <v>#VALUE!</v>
      </c>
      <c r="E4" t="e">
        <f>AND(Sheet1!H26,"AAAAAH/v2QQ=")</f>
        <v>#VALUE!</v>
      </c>
      <c r="F4" t="e">
        <f>AND(Sheet1!I26,"AAAAAH/v2QU=")</f>
        <v>#VALUE!</v>
      </c>
      <c r="G4" t="e">
        <f>AND(Sheet1!J26,"AAAAAH/v2QY=")</f>
        <v>#VALUE!</v>
      </c>
      <c r="H4" t="e">
        <f>AND(Sheet1!K26,"AAAAAH/v2Qc=")</f>
        <v>#VALUE!</v>
      </c>
      <c r="I4" t="e">
        <f>AND(Sheet1!L26,"AAAAAH/v2Qg=")</f>
        <v>#VALUE!</v>
      </c>
      <c r="J4" t="e">
        <f>AND(Sheet1!M26,"AAAAAH/v2Qk=")</f>
        <v>#VALUE!</v>
      </c>
      <c r="K4" t="e">
        <f>AND(Sheet1!N26,"AAAAAH/v2Qo=")</f>
        <v>#VALUE!</v>
      </c>
      <c r="L4" t="e">
        <f>AND(Sheet1!O26,"AAAAAH/v2Qs=")</f>
        <v>#VALUE!</v>
      </c>
      <c r="M4" t="e">
        <f>AND(Sheet1!P26,"AAAAAH/v2Qw=")</f>
        <v>#VALUE!</v>
      </c>
      <c r="N4" t="e">
        <f>AND(Sheet1!Q26,"AAAAAH/v2Q0=")</f>
        <v>#VALUE!</v>
      </c>
      <c r="O4" t="e">
        <f>AND(Sheet1!R26,"AAAAAH/v2Q4=")</f>
        <v>#VALUE!</v>
      </c>
      <c r="P4" t="e">
        <f>AND(Sheet1!S26,"AAAAAH/v2Q8=")</f>
        <v>#VALUE!</v>
      </c>
      <c r="Q4" t="e">
        <f>AND(Sheet1!T26,"AAAAAH/v2RA=")</f>
        <v>#VALUE!</v>
      </c>
      <c r="R4" t="e">
        <f>AND(Sheet1!U26,"AAAAAH/v2RE=")</f>
        <v>#VALUE!</v>
      </c>
      <c r="S4" t="e">
        <f>AND(Sheet1!V26,"AAAAAH/v2RI=")</f>
        <v>#VALUE!</v>
      </c>
      <c r="T4" t="e">
        <f>AND(Sheet1!W26,"AAAAAH/v2RM=")</f>
        <v>#VALUE!</v>
      </c>
      <c r="U4" t="e">
        <f>AND(Sheet1!X26,"AAAAAH/v2RQ=")</f>
        <v>#VALUE!</v>
      </c>
      <c r="V4" t="e">
        <f>AND(Sheet1!Y26,"AAAAAH/v2RU=")</f>
        <v>#VALUE!</v>
      </c>
      <c r="W4" t="e">
        <f>AND(Sheet1!Z26,"AAAAAH/v2RY=")</f>
        <v>#VALUE!</v>
      </c>
      <c r="X4" t="e">
        <f>AND(Sheet1!AA26,"AAAAAH/v2Rc=")</f>
        <v>#VALUE!</v>
      </c>
      <c r="Y4" t="e">
        <f>AND(Sheet1!AB26,"AAAAAH/v2Rg=")</f>
        <v>#VALUE!</v>
      </c>
      <c r="Z4">
        <f>IF(Sheet1!27:27,"AAAAAH/v2Rk=",0)</f>
        <v>0</v>
      </c>
      <c r="AA4" t="e">
        <f>AND(Sheet1!A27,"AAAAAH/v2Ro=")</f>
        <v>#VALUE!</v>
      </c>
      <c r="AB4" t="e">
        <f>AND(Sheet1!B27,"AAAAAH/v2Rs=")</f>
        <v>#VALUE!</v>
      </c>
      <c r="AC4" t="e">
        <f>AND(Sheet1!C27,"AAAAAH/v2Rw=")</f>
        <v>#VALUE!</v>
      </c>
      <c r="AD4" t="e">
        <f>AND(Sheet1!D27,"AAAAAH/v2R0=")</f>
        <v>#VALUE!</v>
      </c>
      <c r="AE4" t="e">
        <f>AND(Sheet1!E27,"AAAAAH/v2R4=")</f>
        <v>#VALUE!</v>
      </c>
      <c r="AF4" t="e">
        <f>AND(Sheet1!F27,"AAAAAH/v2R8=")</f>
        <v>#VALUE!</v>
      </c>
      <c r="AG4" t="e">
        <f>AND(Sheet1!G27,"AAAAAH/v2SA=")</f>
        <v>#VALUE!</v>
      </c>
      <c r="AH4" t="e">
        <f>AND(Sheet1!H27,"AAAAAH/v2SE=")</f>
        <v>#VALUE!</v>
      </c>
      <c r="AI4" t="e">
        <f>AND(Sheet1!I27,"AAAAAH/v2SI=")</f>
        <v>#VALUE!</v>
      </c>
      <c r="AJ4" t="e">
        <f>AND(Sheet1!J27,"AAAAAH/v2SM=")</f>
        <v>#VALUE!</v>
      </c>
      <c r="AK4" t="e">
        <f>AND(Sheet1!K27,"AAAAAH/v2SQ=")</f>
        <v>#VALUE!</v>
      </c>
      <c r="AL4" t="e">
        <f>AND(Sheet1!L27,"AAAAAH/v2SU=")</f>
        <v>#VALUE!</v>
      </c>
      <c r="AM4" t="e">
        <f>AND(Sheet1!M27,"AAAAAH/v2SY=")</f>
        <v>#VALUE!</v>
      </c>
      <c r="AN4" t="e">
        <f>AND(Sheet1!N27,"AAAAAH/v2Sc=")</f>
        <v>#VALUE!</v>
      </c>
      <c r="AO4" t="e">
        <f>AND(Sheet1!O27,"AAAAAH/v2Sg=")</f>
        <v>#VALUE!</v>
      </c>
      <c r="AP4" t="e">
        <f>AND(Sheet1!P27,"AAAAAH/v2Sk=")</f>
        <v>#VALUE!</v>
      </c>
      <c r="AQ4" t="e">
        <f>AND(Sheet1!Q27,"AAAAAH/v2So=")</f>
        <v>#VALUE!</v>
      </c>
      <c r="AR4" t="e">
        <f>AND(Sheet1!R27,"AAAAAH/v2Ss=")</f>
        <v>#VALUE!</v>
      </c>
      <c r="AS4" t="e">
        <f>AND(Sheet1!S27,"AAAAAH/v2Sw=")</f>
        <v>#VALUE!</v>
      </c>
      <c r="AT4" t="e">
        <f>AND(Sheet1!T27,"AAAAAH/v2S0=")</f>
        <v>#VALUE!</v>
      </c>
      <c r="AU4" t="e">
        <f>AND(Sheet1!U27,"AAAAAH/v2S4=")</f>
        <v>#VALUE!</v>
      </c>
      <c r="AV4" t="e">
        <f>AND(Sheet1!V27,"AAAAAH/v2S8=")</f>
        <v>#VALUE!</v>
      </c>
      <c r="AW4" t="e">
        <f>AND(Sheet1!W27,"AAAAAH/v2TA=")</f>
        <v>#VALUE!</v>
      </c>
      <c r="AX4" t="e">
        <f>AND(Sheet1!X27,"AAAAAH/v2TE=")</f>
        <v>#VALUE!</v>
      </c>
      <c r="AY4" t="e">
        <f>AND(Sheet1!Y27,"AAAAAH/v2TI=")</f>
        <v>#VALUE!</v>
      </c>
      <c r="AZ4" t="e">
        <f>AND(Sheet1!Z27,"AAAAAH/v2TM=")</f>
        <v>#VALUE!</v>
      </c>
      <c r="BA4" t="e">
        <f>AND(Sheet1!AA27,"AAAAAH/v2TQ=")</f>
        <v>#VALUE!</v>
      </c>
      <c r="BB4" t="e">
        <f>AND(Sheet1!AB27,"AAAAAH/v2TU=")</f>
        <v>#VALUE!</v>
      </c>
      <c r="BC4">
        <f>IF(Sheet1!28:28,"AAAAAH/v2TY=",0)</f>
        <v>0</v>
      </c>
      <c r="BD4" t="e">
        <f>AND(Sheet1!A28,"AAAAAH/v2Tc=")</f>
        <v>#VALUE!</v>
      </c>
      <c r="BE4" t="e">
        <f>AND(Sheet1!B28,"AAAAAH/v2Tg=")</f>
        <v>#VALUE!</v>
      </c>
      <c r="BF4" t="e">
        <f>AND(Sheet1!C28,"AAAAAH/v2Tk=")</f>
        <v>#VALUE!</v>
      </c>
      <c r="BG4" t="e">
        <f>AND(Sheet1!D28,"AAAAAH/v2To=")</f>
        <v>#VALUE!</v>
      </c>
      <c r="BH4" t="e">
        <f>AND(Sheet1!E28,"AAAAAH/v2Ts=")</f>
        <v>#VALUE!</v>
      </c>
      <c r="BI4" t="e">
        <f>AND(Sheet1!F28,"AAAAAH/v2Tw=")</f>
        <v>#VALUE!</v>
      </c>
      <c r="BJ4" t="e">
        <f>AND(Sheet1!G28,"AAAAAH/v2T0=")</f>
        <v>#VALUE!</v>
      </c>
      <c r="BK4" t="e">
        <f>AND(Sheet1!H28,"AAAAAH/v2T4=")</f>
        <v>#VALUE!</v>
      </c>
      <c r="BL4" t="e">
        <f>AND(Sheet1!I28,"AAAAAH/v2T8=")</f>
        <v>#VALUE!</v>
      </c>
      <c r="BM4" t="e">
        <f>AND(Sheet1!J28,"AAAAAH/v2UA=")</f>
        <v>#VALUE!</v>
      </c>
      <c r="BN4" t="e">
        <f>AND(Sheet1!K28,"AAAAAH/v2UE=")</f>
        <v>#VALUE!</v>
      </c>
      <c r="BO4" t="e">
        <f>AND(Sheet1!L28,"AAAAAH/v2UI=")</f>
        <v>#VALUE!</v>
      </c>
      <c r="BP4" t="e">
        <f>AND(Sheet1!M28,"AAAAAH/v2UM=")</f>
        <v>#VALUE!</v>
      </c>
      <c r="BQ4" t="e">
        <f>AND(Sheet1!N28,"AAAAAH/v2UQ=")</f>
        <v>#VALUE!</v>
      </c>
      <c r="BR4" t="e">
        <f>AND(Sheet1!O28,"AAAAAH/v2UU=")</f>
        <v>#VALUE!</v>
      </c>
      <c r="BS4" t="e">
        <f>AND(Sheet1!P28,"AAAAAH/v2UY=")</f>
        <v>#VALUE!</v>
      </c>
      <c r="BT4" t="e">
        <f>AND(Sheet1!Q28,"AAAAAH/v2Uc=")</f>
        <v>#VALUE!</v>
      </c>
      <c r="BU4" t="e">
        <f>AND(Sheet1!R28,"AAAAAH/v2Ug=")</f>
        <v>#VALUE!</v>
      </c>
      <c r="BV4" t="e">
        <f>AND(Sheet1!S28,"AAAAAH/v2Uk=")</f>
        <v>#VALUE!</v>
      </c>
      <c r="BW4" t="e">
        <f>AND(Sheet1!T28,"AAAAAH/v2Uo=")</f>
        <v>#VALUE!</v>
      </c>
      <c r="BX4" t="e">
        <f>AND(Sheet1!U28,"AAAAAH/v2Us=")</f>
        <v>#VALUE!</v>
      </c>
      <c r="BY4" t="e">
        <f>AND(Sheet1!V28,"AAAAAH/v2Uw=")</f>
        <v>#VALUE!</v>
      </c>
      <c r="BZ4" t="e">
        <f>AND(Sheet1!W28,"AAAAAH/v2U0=")</f>
        <v>#VALUE!</v>
      </c>
      <c r="CA4" t="e">
        <f>AND(Sheet1!X28,"AAAAAH/v2U4=")</f>
        <v>#VALUE!</v>
      </c>
      <c r="CB4" t="e">
        <f>AND(Sheet1!Y28,"AAAAAH/v2U8=")</f>
        <v>#VALUE!</v>
      </c>
      <c r="CC4" t="e">
        <f>AND(Sheet1!Z28,"AAAAAH/v2VA=")</f>
        <v>#VALUE!</v>
      </c>
      <c r="CD4" t="e">
        <f>AND(Sheet1!AA28,"AAAAAH/v2VE=")</f>
        <v>#VALUE!</v>
      </c>
      <c r="CE4" t="e">
        <f>AND(Sheet1!AB28,"AAAAAH/v2VI=")</f>
        <v>#VALUE!</v>
      </c>
      <c r="CF4">
        <f>IF(Sheet1!29:29,"AAAAAH/v2VM=",0)</f>
        <v>0</v>
      </c>
      <c r="CG4" t="e">
        <f>AND(Sheet1!A29,"AAAAAH/v2VQ=")</f>
        <v>#VALUE!</v>
      </c>
      <c r="CH4" t="e">
        <f>AND(Sheet1!B29,"AAAAAH/v2VU=")</f>
        <v>#VALUE!</v>
      </c>
      <c r="CI4" t="e">
        <f>AND(Sheet1!C29,"AAAAAH/v2VY=")</f>
        <v>#VALUE!</v>
      </c>
      <c r="CJ4" t="e">
        <f>AND(Sheet1!D29,"AAAAAH/v2Vc=")</f>
        <v>#VALUE!</v>
      </c>
      <c r="CK4" t="e">
        <f>AND(Sheet1!E29,"AAAAAH/v2Vg=")</f>
        <v>#VALUE!</v>
      </c>
      <c r="CL4" t="e">
        <f>AND(Sheet1!F29,"AAAAAH/v2Vk=")</f>
        <v>#VALUE!</v>
      </c>
      <c r="CM4" t="e">
        <f>AND(Sheet1!G29,"AAAAAH/v2Vo=")</f>
        <v>#VALUE!</v>
      </c>
      <c r="CN4" t="e">
        <f>AND(Sheet1!H29,"AAAAAH/v2Vs=")</f>
        <v>#VALUE!</v>
      </c>
      <c r="CO4" t="e">
        <f>AND(Sheet1!I29,"AAAAAH/v2Vw=")</f>
        <v>#VALUE!</v>
      </c>
      <c r="CP4" t="e">
        <f>AND(Sheet1!J29,"AAAAAH/v2V0=")</f>
        <v>#VALUE!</v>
      </c>
      <c r="CQ4" t="e">
        <f>AND(Sheet1!K29,"AAAAAH/v2V4=")</f>
        <v>#VALUE!</v>
      </c>
      <c r="CR4" t="e">
        <f>AND(Sheet1!L29,"AAAAAH/v2V8=")</f>
        <v>#VALUE!</v>
      </c>
      <c r="CS4" t="e">
        <f>AND(Sheet1!M29,"AAAAAH/v2WA=")</f>
        <v>#VALUE!</v>
      </c>
      <c r="CT4" t="e">
        <f>AND(Sheet1!N29,"AAAAAH/v2WE=")</f>
        <v>#VALUE!</v>
      </c>
      <c r="CU4" t="e">
        <f>AND(Sheet1!O29,"AAAAAH/v2WI=")</f>
        <v>#VALUE!</v>
      </c>
      <c r="CV4" t="e">
        <f>AND(Sheet1!P29,"AAAAAH/v2WM=")</f>
        <v>#VALUE!</v>
      </c>
      <c r="CW4" t="e">
        <f>AND(Sheet1!Q29,"AAAAAH/v2WQ=")</f>
        <v>#VALUE!</v>
      </c>
      <c r="CX4" t="e">
        <f>AND(Sheet1!R29,"AAAAAH/v2WU=")</f>
        <v>#VALUE!</v>
      </c>
      <c r="CY4" t="e">
        <f>AND(Sheet1!S29,"AAAAAH/v2WY=")</f>
        <v>#VALUE!</v>
      </c>
      <c r="CZ4" t="e">
        <f>AND(Sheet1!T29,"AAAAAH/v2Wc=")</f>
        <v>#VALUE!</v>
      </c>
      <c r="DA4" t="e">
        <f>AND(Sheet1!U29,"AAAAAH/v2Wg=")</f>
        <v>#VALUE!</v>
      </c>
      <c r="DB4" t="e">
        <f>AND(Sheet1!V29,"AAAAAH/v2Wk=")</f>
        <v>#VALUE!</v>
      </c>
      <c r="DC4" t="e">
        <f>AND(Sheet1!W29,"AAAAAH/v2Wo=")</f>
        <v>#VALUE!</v>
      </c>
      <c r="DD4" t="e">
        <f>AND(Sheet1!X29,"AAAAAH/v2Ws=")</f>
        <v>#VALUE!</v>
      </c>
      <c r="DE4" t="e">
        <f>AND(Sheet1!Y29,"AAAAAH/v2Ww=")</f>
        <v>#VALUE!</v>
      </c>
      <c r="DF4" t="e">
        <f>AND(Sheet1!Z29,"AAAAAH/v2W0=")</f>
        <v>#VALUE!</v>
      </c>
      <c r="DG4" t="e">
        <f>AND(Sheet1!AA29,"AAAAAH/v2W4=")</f>
        <v>#VALUE!</v>
      </c>
      <c r="DH4" t="e">
        <f>AND(Sheet1!AB29,"AAAAAH/v2W8=")</f>
        <v>#VALUE!</v>
      </c>
      <c r="DI4">
        <f>IF(Sheet1!30:30,"AAAAAH/v2XA=",0)</f>
        <v>0</v>
      </c>
      <c r="DJ4" t="e">
        <f>AND(Sheet1!A30,"AAAAAH/v2XE=")</f>
        <v>#VALUE!</v>
      </c>
      <c r="DK4" t="e">
        <f>AND(Sheet1!B30,"AAAAAH/v2XI=")</f>
        <v>#VALUE!</v>
      </c>
      <c r="DL4" t="e">
        <f>AND(Sheet1!C30,"AAAAAH/v2XM=")</f>
        <v>#VALUE!</v>
      </c>
      <c r="DM4" t="e">
        <f>AND(Sheet1!D30,"AAAAAH/v2XQ=")</f>
        <v>#VALUE!</v>
      </c>
      <c r="DN4" t="e">
        <f>AND(Sheet1!E30,"AAAAAH/v2XU=")</f>
        <v>#VALUE!</v>
      </c>
      <c r="DO4" t="e">
        <f>AND(Sheet1!F30,"AAAAAH/v2XY=")</f>
        <v>#VALUE!</v>
      </c>
      <c r="DP4" t="e">
        <f>AND(Sheet1!G30,"AAAAAH/v2Xc=")</f>
        <v>#VALUE!</v>
      </c>
      <c r="DQ4" t="e">
        <f>AND(Sheet1!H30,"AAAAAH/v2Xg=")</f>
        <v>#VALUE!</v>
      </c>
      <c r="DR4" t="e">
        <f>AND(Sheet1!I30,"AAAAAH/v2Xk=")</f>
        <v>#VALUE!</v>
      </c>
      <c r="DS4" t="e">
        <f>AND(Sheet1!J30,"AAAAAH/v2Xo=")</f>
        <v>#VALUE!</v>
      </c>
      <c r="DT4" t="e">
        <f>AND(Sheet1!K30,"AAAAAH/v2Xs=")</f>
        <v>#VALUE!</v>
      </c>
      <c r="DU4" t="e">
        <f>AND(Sheet1!L30,"AAAAAH/v2Xw=")</f>
        <v>#VALUE!</v>
      </c>
      <c r="DV4" t="e">
        <f>AND(Sheet1!M30,"AAAAAH/v2X0=")</f>
        <v>#VALUE!</v>
      </c>
      <c r="DW4" t="e">
        <f>AND(Sheet1!N30,"AAAAAH/v2X4=")</f>
        <v>#VALUE!</v>
      </c>
      <c r="DX4" t="e">
        <f>AND(Sheet1!O30,"AAAAAH/v2X8=")</f>
        <v>#VALUE!</v>
      </c>
      <c r="DY4" t="e">
        <f>AND(Sheet1!P30,"AAAAAH/v2YA=")</f>
        <v>#VALUE!</v>
      </c>
      <c r="DZ4" t="e">
        <f>AND(Sheet1!Q30,"AAAAAH/v2YE=")</f>
        <v>#VALUE!</v>
      </c>
      <c r="EA4" t="e">
        <f>AND(Sheet1!R30,"AAAAAH/v2YI=")</f>
        <v>#VALUE!</v>
      </c>
      <c r="EB4" t="e">
        <f>AND(Sheet1!S30,"AAAAAH/v2YM=")</f>
        <v>#VALUE!</v>
      </c>
      <c r="EC4" t="e">
        <f>AND(Sheet1!T30,"AAAAAH/v2YQ=")</f>
        <v>#VALUE!</v>
      </c>
      <c r="ED4" t="e">
        <f>AND(Sheet1!U30,"AAAAAH/v2YU=")</f>
        <v>#VALUE!</v>
      </c>
      <c r="EE4" t="e">
        <f>AND(Sheet1!V30,"AAAAAH/v2YY=")</f>
        <v>#VALUE!</v>
      </c>
      <c r="EF4" t="e">
        <f>AND(Sheet1!W30,"AAAAAH/v2Yc=")</f>
        <v>#VALUE!</v>
      </c>
      <c r="EG4" t="e">
        <f>AND(Sheet1!X30,"AAAAAH/v2Yg=")</f>
        <v>#VALUE!</v>
      </c>
      <c r="EH4" t="e">
        <f>AND(Sheet1!Y30,"AAAAAH/v2Yk=")</f>
        <v>#VALUE!</v>
      </c>
      <c r="EI4" t="e">
        <f>AND(Sheet1!Z30,"AAAAAH/v2Yo=")</f>
        <v>#VALUE!</v>
      </c>
      <c r="EJ4" t="e">
        <f>AND(Sheet1!AA30,"AAAAAH/v2Ys=")</f>
        <v>#VALUE!</v>
      </c>
      <c r="EK4" t="e">
        <f>AND(Sheet1!AB30,"AAAAAH/v2Yw=")</f>
        <v>#VALUE!</v>
      </c>
      <c r="EL4">
        <f>IF(Sheet1!31:31,"AAAAAH/v2Y0=",0)</f>
        <v>0</v>
      </c>
      <c r="EM4" t="e">
        <f>AND(Sheet1!A31,"AAAAAH/v2Y4=")</f>
        <v>#VALUE!</v>
      </c>
      <c r="EN4" t="e">
        <f>AND(Sheet1!B31,"AAAAAH/v2Y8=")</f>
        <v>#VALUE!</v>
      </c>
      <c r="EO4" t="e">
        <f>AND(Sheet1!C31,"AAAAAH/v2ZA=")</f>
        <v>#VALUE!</v>
      </c>
      <c r="EP4" t="e">
        <f>AND(Sheet1!D31,"AAAAAH/v2ZE=")</f>
        <v>#VALUE!</v>
      </c>
      <c r="EQ4" t="e">
        <f>AND(Sheet1!E31,"AAAAAH/v2ZI=")</f>
        <v>#VALUE!</v>
      </c>
      <c r="ER4" t="e">
        <f>AND(Sheet1!F31,"AAAAAH/v2ZM=")</f>
        <v>#VALUE!</v>
      </c>
      <c r="ES4" t="e">
        <f>AND(Sheet1!G31,"AAAAAH/v2ZQ=")</f>
        <v>#VALUE!</v>
      </c>
      <c r="ET4" t="e">
        <f>AND(Sheet1!H31,"AAAAAH/v2ZU=")</f>
        <v>#VALUE!</v>
      </c>
      <c r="EU4" t="e">
        <f>AND(Sheet1!I31,"AAAAAH/v2ZY=")</f>
        <v>#VALUE!</v>
      </c>
      <c r="EV4" t="e">
        <f>AND(Sheet1!J31,"AAAAAH/v2Zc=")</f>
        <v>#VALUE!</v>
      </c>
      <c r="EW4" t="e">
        <f>AND(Sheet1!K31,"AAAAAH/v2Zg=")</f>
        <v>#VALUE!</v>
      </c>
      <c r="EX4" t="e">
        <f>AND(Sheet1!L31,"AAAAAH/v2Zk=")</f>
        <v>#VALUE!</v>
      </c>
      <c r="EY4" t="e">
        <f>AND(Sheet1!M31,"AAAAAH/v2Zo=")</f>
        <v>#VALUE!</v>
      </c>
      <c r="EZ4" t="e">
        <f>AND(Sheet1!N31,"AAAAAH/v2Zs=")</f>
        <v>#VALUE!</v>
      </c>
      <c r="FA4" t="e">
        <f>AND(Sheet1!O31,"AAAAAH/v2Zw=")</f>
        <v>#VALUE!</v>
      </c>
      <c r="FB4" t="e">
        <f>AND(Sheet1!P31,"AAAAAH/v2Z0=")</f>
        <v>#VALUE!</v>
      </c>
      <c r="FC4" t="e">
        <f>AND(Sheet1!Q31,"AAAAAH/v2Z4=")</f>
        <v>#VALUE!</v>
      </c>
      <c r="FD4" t="e">
        <f>AND(Sheet1!R31,"AAAAAH/v2Z8=")</f>
        <v>#VALUE!</v>
      </c>
      <c r="FE4" t="e">
        <f>AND(Sheet1!S31,"AAAAAH/v2aA=")</f>
        <v>#VALUE!</v>
      </c>
      <c r="FF4" t="e">
        <f>AND(Sheet1!T31,"AAAAAH/v2aE=")</f>
        <v>#VALUE!</v>
      </c>
      <c r="FG4" t="e">
        <f>AND(Sheet1!U31,"AAAAAH/v2aI=")</f>
        <v>#VALUE!</v>
      </c>
      <c r="FH4" t="e">
        <f>AND(Sheet1!V31,"AAAAAH/v2aM=")</f>
        <v>#VALUE!</v>
      </c>
      <c r="FI4" t="e">
        <f>AND(Sheet1!W31,"AAAAAH/v2aQ=")</f>
        <v>#VALUE!</v>
      </c>
      <c r="FJ4" t="e">
        <f>AND(Sheet1!X31,"AAAAAH/v2aU=")</f>
        <v>#VALUE!</v>
      </c>
      <c r="FK4" t="e">
        <f>AND(Sheet1!Y31,"AAAAAH/v2aY=")</f>
        <v>#VALUE!</v>
      </c>
      <c r="FL4" t="e">
        <f>AND(Sheet1!Z31,"AAAAAH/v2ac=")</f>
        <v>#VALUE!</v>
      </c>
      <c r="FM4" t="e">
        <f>AND(Sheet1!AA31,"AAAAAH/v2ag=")</f>
        <v>#VALUE!</v>
      </c>
      <c r="FN4" t="e">
        <f>AND(Sheet1!AB31,"AAAAAH/v2ak=")</f>
        <v>#VALUE!</v>
      </c>
      <c r="FO4">
        <f>IF(Sheet1!32:32,"AAAAAH/v2ao=",0)</f>
        <v>0</v>
      </c>
      <c r="FP4" t="e">
        <f>AND(Sheet1!A32,"AAAAAH/v2as=")</f>
        <v>#VALUE!</v>
      </c>
      <c r="FQ4" t="e">
        <f>AND(Sheet1!B32,"AAAAAH/v2aw=")</f>
        <v>#VALUE!</v>
      </c>
      <c r="FR4" t="e">
        <f>AND(Sheet1!C32,"AAAAAH/v2a0=")</f>
        <v>#VALUE!</v>
      </c>
      <c r="FS4" t="e">
        <f>AND(Sheet1!D32,"AAAAAH/v2a4=")</f>
        <v>#VALUE!</v>
      </c>
      <c r="FT4" t="e">
        <f>AND(Sheet1!E32,"AAAAAH/v2a8=")</f>
        <v>#VALUE!</v>
      </c>
      <c r="FU4" t="e">
        <f>AND(Sheet1!F32,"AAAAAH/v2bA=")</f>
        <v>#VALUE!</v>
      </c>
      <c r="FV4" t="e">
        <f>AND(Sheet1!G32,"AAAAAH/v2bE=")</f>
        <v>#VALUE!</v>
      </c>
      <c r="FW4" t="e">
        <f>AND(Sheet1!H32,"AAAAAH/v2bI=")</f>
        <v>#VALUE!</v>
      </c>
      <c r="FX4" t="e">
        <f>AND(Sheet1!I32,"AAAAAH/v2bM=")</f>
        <v>#VALUE!</v>
      </c>
      <c r="FY4" t="e">
        <f>AND(Sheet1!J32,"AAAAAH/v2bQ=")</f>
        <v>#VALUE!</v>
      </c>
      <c r="FZ4" t="e">
        <f>AND(Sheet1!K32,"AAAAAH/v2bU=")</f>
        <v>#VALUE!</v>
      </c>
      <c r="GA4" t="e">
        <f>AND(Sheet1!L32,"AAAAAH/v2bY=")</f>
        <v>#VALUE!</v>
      </c>
      <c r="GB4" t="e">
        <f>AND(Sheet1!M32,"AAAAAH/v2bc=")</f>
        <v>#VALUE!</v>
      </c>
      <c r="GC4" t="e">
        <f>AND(Sheet1!N32,"AAAAAH/v2bg=")</f>
        <v>#VALUE!</v>
      </c>
      <c r="GD4" t="e">
        <f>AND(Sheet1!O32,"AAAAAH/v2bk=")</f>
        <v>#VALUE!</v>
      </c>
      <c r="GE4" t="e">
        <f>AND(Sheet1!P32,"AAAAAH/v2bo=")</f>
        <v>#VALUE!</v>
      </c>
      <c r="GF4" t="e">
        <f>AND(Sheet1!Q32,"AAAAAH/v2bs=")</f>
        <v>#VALUE!</v>
      </c>
      <c r="GG4" t="e">
        <f>AND(Sheet1!R32,"AAAAAH/v2bw=")</f>
        <v>#VALUE!</v>
      </c>
      <c r="GH4" t="e">
        <f>AND(Sheet1!S32,"AAAAAH/v2b0=")</f>
        <v>#VALUE!</v>
      </c>
      <c r="GI4" t="e">
        <f>AND(Sheet1!T32,"AAAAAH/v2b4=")</f>
        <v>#VALUE!</v>
      </c>
      <c r="GJ4" t="e">
        <f>AND(Sheet1!U32,"AAAAAH/v2b8=")</f>
        <v>#VALUE!</v>
      </c>
      <c r="GK4" t="e">
        <f>AND(Sheet1!V32,"AAAAAH/v2cA=")</f>
        <v>#VALUE!</v>
      </c>
      <c r="GL4" t="e">
        <f>AND(Sheet1!W32,"AAAAAH/v2cE=")</f>
        <v>#VALUE!</v>
      </c>
      <c r="GM4" t="e">
        <f>AND(Sheet1!X32,"AAAAAH/v2cI=")</f>
        <v>#VALUE!</v>
      </c>
      <c r="GN4" t="e">
        <f>AND(Sheet1!Y32,"AAAAAH/v2cM=")</f>
        <v>#VALUE!</v>
      </c>
      <c r="GO4" t="e">
        <f>AND(Sheet1!Z32,"AAAAAH/v2cQ=")</f>
        <v>#VALUE!</v>
      </c>
      <c r="GP4" t="e">
        <f>AND(Sheet1!AA32,"AAAAAH/v2cU=")</f>
        <v>#VALUE!</v>
      </c>
      <c r="GQ4" t="e">
        <f>AND(Sheet1!AB32,"AAAAAH/v2cY=")</f>
        <v>#VALUE!</v>
      </c>
      <c r="GR4">
        <f>IF(Sheet1!33:33,"AAAAAH/v2cc=",0)</f>
        <v>0</v>
      </c>
      <c r="GS4" t="e">
        <f>AND(Sheet1!A33,"AAAAAH/v2cg=")</f>
        <v>#VALUE!</v>
      </c>
      <c r="GT4" t="e">
        <f>AND(Sheet1!B33,"AAAAAH/v2ck=")</f>
        <v>#VALUE!</v>
      </c>
      <c r="GU4" t="e">
        <f>AND(Sheet1!C33,"AAAAAH/v2co=")</f>
        <v>#VALUE!</v>
      </c>
      <c r="GV4" t="e">
        <f>AND(Sheet1!D33,"AAAAAH/v2cs=")</f>
        <v>#VALUE!</v>
      </c>
      <c r="GW4" t="e">
        <f>AND(Sheet1!E33,"AAAAAH/v2cw=")</f>
        <v>#VALUE!</v>
      </c>
      <c r="GX4" t="e">
        <f>AND(Sheet1!F33,"AAAAAH/v2c0=")</f>
        <v>#VALUE!</v>
      </c>
      <c r="GY4" t="e">
        <f>AND(Sheet1!G33,"AAAAAH/v2c4=")</f>
        <v>#VALUE!</v>
      </c>
      <c r="GZ4" t="e">
        <f>AND(Sheet1!H33,"AAAAAH/v2c8=")</f>
        <v>#VALUE!</v>
      </c>
      <c r="HA4" t="e">
        <f>AND(Sheet1!I33,"AAAAAH/v2dA=")</f>
        <v>#VALUE!</v>
      </c>
      <c r="HB4" t="e">
        <f>AND(Sheet1!J33,"AAAAAH/v2dE=")</f>
        <v>#VALUE!</v>
      </c>
      <c r="HC4" t="e">
        <f>AND(Sheet1!K33,"AAAAAH/v2dI=")</f>
        <v>#VALUE!</v>
      </c>
      <c r="HD4" t="e">
        <f>AND(Sheet1!L33,"AAAAAH/v2dM=")</f>
        <v>#VALUE!</v>
      </c>
      <c r="HE4" t="e">
        <f>AND(Sheet1!M33,"AAAAAH/v2dQ=")</f>
        <v>#VALUE!</v>
      </c>
      <c r="HF4" t="e">
        <f>AND(Sheet1!N33,"AAAAAH/v2dU=")</f>
        <v>#VALUE!</v>
      </c>
      <c r="HG4" t="e">
        <f>AND(Sheet1!O33,"AAAAAH/v2dY=")</f>
        <v>#VALUE!</v>
      </c>
      <c r="HH4" t="e">
        <f>AND(Sheet1!P33,"AAAAAH/v2dc=")</f>
        <v>#VALUE!</v>
      </c>
      <c r="HI4" t="e">
        <f>AND(Sheet1!Q33,"AAAAAH/v2dg=")</f>
        <v>#VALUE!</v>
      </c>
      <c r="HJ4" t="e">
        <f>AND(Sheet1!R33,"AAAAAH/v2dk=")</f>
        <v>#VALUE!</v>
      </c>
      <c r="HK4" t="e">
        <f>AND(Sheet1!S33,"AAAAAH/v2do=")</f>
        <v>#VALUE!</v>
      </c>
      <c r="HL4" t="e">
        <f>AND(Sheet1!T33,"AAAAAH/v2ds=")</f>
        <v>#VALUE!</v>
      </c>
      <c r="HM4" t="e">
        <f>AND(Sheet1!U33,"AAAAAH/v2dw=")</f>
        <v>#VALUE!</v>
      </c>
      <c r="HN4" t="e">
        <f>AND(Sheet1!V33,"AAAAAH/v2d0=")</f>
        <v>#VALUE!</v>
      </c>
      <c r="HO4" t="e">
        <f>AND(Sheet1!W33,"AAAAAH/v2d4=")</f>
        <v>#VALUE!</v>
      </c>
      <c r="HP4" t="e">
        <f>AND(Sheet1!X33,"AAAAAH/v2d8=")</f>
        <v>#VALUE!</v>
      </c>
      <c r="HQ4" t="e">
        <f>AND(Sheet1!Y33,"AAAAAH/v2eA=")</f>
        <v>#VALUE!</v>
      </c>
      <c r="HR4" t="e">
        <f>AND(Sheet1!Z33,"AAAAAH/v2eE=")</f>
        <v>#VALUE!</v>
      </c>
      <c r="HS4" t="e">
        <f>AND(Sheet1!AA33,"AAAAAH/v2eI=")</f>
        <v>#VALUE!</v>
      </c>
      <c r="HT4" t="e">
        <f>AND(Sheet1!AB33,"AAAAAH/v2eM=")</f>
        <v>#VALUE!</v>
      </c>
      <c r="HU4">
        <f>IF(Sheet1!34:34,"AAAAAH/v2eQ=",0)</f>
        <v>0</v>
      </c>
      <c r="HV4" t="e">
        <f>AND(Sheet1!A34,"AAAAAH/v2eU=")</f>
        <v>#VALUE!</v>
      </c>
      <c r="HW4" t="e">
        <f>AND(Sheet1!B34,"AAAAAH/v2eY=")</f>
        <v>#VALUE!</v>
      </c>
      <c r="HX4" t="e">
        <f>AND(Sheet1!C34,"AAAAAH/v2ec=")</f>
        <v>#VALUE!</v>
      </c>
      <c r="HY4" t="e">
        <f>AND(Sheet1!D34,"AAAAAH/v2eg=")</f>
        <v>#VALUE!</v>
      </c>
      <c r="HZ4" t="e">
        <f>AND(Sheet1!E34,"AAAAAH/v2ek=")</f>
        <v>#VALUE!</v>
      </c>
      <c r="IA4" t="e">
        <f>AND(Sheet1!F34,"AAAAAH/v2eo=")</f>
        <v>#VALUE!</v>
      </c>
      <c r="IB4" t="e">
        <f>AND(Sheet1!G34,"AAAAAH/v2es=")</f>
        <v>#VALUE!</v>
      </c>
      <c r="IC4" t="e">
        <f>AND(Sheet1!H34,"AAAAAH/v2ew=")</f>
        <v>#VALUE!</v>
      </c>
      <c r="ID4" t="e">
        <f>AND(Sheet1!I34,"AAAAAH/v2e0=")</f>
        <v>#VALUE!</v>
      </c>
      <c r="IE4" t="e">
        <f>AND(Sheet1!J34,"AAAAAH/v2e4=")</f>
        <v>#VALUE!</v>
      </c>
      <c r="IF4" t="e">
        <f>AND(Sheet1!K34,"AAAAAH/v2e8=")</f>
        <v>#VALUE!</v>
      </c>
      <c r="IG4" t="e">
        <f>AND(Sheet1!L34,"AAAAAH/v2fA=")</f>
        <v>#VALUE!</v>
      </c>
      <c r="IH4" t="e">
        <f>AND(Sheet1!M34,"AAAAAH/v2fE=")</f>
        <v>#VALUE!</v>
      </c>
      <c r="II4" t="e">
        <f>AND(Sheet1!N34,"AAAAAH/v2fI=")</f>
        <v>#VALUE!</v>
      </c>
      <c r="IJ4" t="e">
        <f>AND(Sheet1!O34,"AAAAAH/v2fM=")</f>
        <v>#VALUE!</v>
      </c>
      <c r="IK4" t="e">
        <f>AND(Sheet1!P34,"AAAAAH/v2fQ=")</f>
        <v>#VALUE!</v>
      </c>
      <c r="IL4" t="e">
        <f>AND(Sheet1!Q34,"AAAAAH/v2fU=")</f>
        <v>#VALUE!</v>
      </c>
      <c r="IM4" t="e">
        <f>AND(Sheet1!R34,"AAAAAH/v2fY=")</f>
        <v>#VALUE!</v>
      </c>
      <c r="IN4" t="e">
        <f>AND(Sheet1!S34,"AAAAAH/v2fc=")</f>
        <v>#VALUE!</v>
      </c>
      <c r="IO4" t="e">
        <f>AND(Sheet1!T34,"AAAAAH/v2fg=")</f>
        <v>#VALUE!</v>
      </c>
      <c r="IP4" t="e">
        <f>AND(Sheet1!U34,"AAAAAH/v2fk=")</f>
        <v>#VALUE!</v>
      </c>
      <c r="IQ4" t="e">
        <f>AND(Sheet1!V34,"AAAAAH/v2fo=")</f>
        <v>#VALUE!</v>
      </c>
      <c r="IR4" t="e">
        <f>AND(Sheet1!W34,"AAAAAH/v2fs=")</f>
        <v>#VALUE!</v>
      </c>
      <c r="IS4" t="e">
        <f>AND(Sheet1!X34,"AAAAAH/v2fw=")</f>
        <v>#VALUE!</v>
      </c>
      <c r="IT4" t="e">
        <f>AND(Sheet1!Y34,"AAAAAH/v2f0=")</f>
        <v>#VALUE!</v>
      </c>
      <c r="IU4" t="e">
        <f>AND(Sheet1!Z34,"AAAAAH/v2f4=")</f>
        <v>#VALUE!</v>
      </c>
      <c r="IV4" t="e">
        <f>AND(Sheet1!AA34,"AAAAAH/v2f8=")</f>
        <v>#VALUE!</v>
      </c>
    </row>
    <row r="5" spans="1:256" ht="12.75">
      <c r="A5" t="e">
        <f>AND(Sheet1!AB34,"AAAAAH1TdwA=")</f>
        <v>#VALUE!</v>
      </c>
      <c r="B5">
        <f>IF(Sheet1!35:35,"AAAAAH1TdwE=",0)</f>
        <v>0</v>
      </c>
      <c r="C5" t="e">
        <f>AND(Sheet1!A35,"AAAAAH1TdwI=")</f>
        <v>#VALUE!</v>
      </c>
      <c r="D5" t="e">
        <f>AND(Sheet1!B35,"AAAAAH1TdwM=")</f>
        <v>#VALUE!</v>
      </c>
      <c r="E5" t="e">
        <f>AND(Sheet1!C35,"AAAAAH1TdwQ=")</f>
        <v>#VALUE!</v>
      </c>
      <c r="F5" t="e">
        <f>AND(Sheet1!D35,"AAAAAH1TdwU=")</f>
        <v>#VALUE!</v>
      </c>
      <c r="G5" t="e">
        <f>AND(Sheet1!E35,"AAAAAH1TdwY=")</f>
        <v>#VALUE!</v>
      </c>
      <c r="H5" t="e">
        <f>AND(Sheet1!F35,"AAAAAH1Tdwc=")</f>
        <v>#VALUE!</v>
      </c>
      <c r="I5" t="e">
        <f>AND(Sheet1!G35,"AAAAAH1Tdwg=")</f>
        <v>#VALUE!</v>
      </c>
      <c r="J5" t="e">
        <f>AND(Sheet1!H35,"AAAAAH1Tdwk=")</f>
        <v>#VALUE!</v>
      </c>
      <c r="K5" t="e">
        <f>AND(Sheet1!I35,"AAAAAH1Tdwo=")</f>
        <v>#VALUE!</v>
      </c>
      <c r="L5" t="e">
        <f>AND(Sheet1!J35,"AAAAAH1Tdws=")</f>
        <v>#VALUE!</v>
      </c>
      <c r="M5" t="e">
        <f>AND(Sheet1!K35,"AAAAAH1Tdww=")</f>
        <v>#VALUE!</v>
      </c>
      <c r="N5" t="e">
        <f>AND(Sheet1!L35,"AAAAAH1Tdw0=")</f>
        <v>#VALUE!</v>
      </c>
      <c r="O5" t="e">
        <f>AND(Sheet1!M35,"AAAAAH1Tdw4=")</f>
        <v>#VALUE!</v>
      </c>
      <c r="P5" t="e">
        <f>AND(Sheet1!N35,"AAAAAH1Tdw8=")</f>
        <v>#VALUE!</v>
      </c>
      <c r="Q5" t="e">
        <f>AND(Sheet1!O35,"AAAAAH1TdxA=")</f>
        <v>#VALUE!</v>
      </c>
      <c r="R5" t="e">
        <f>AND(Sheet1!P35,"AAAAAH1TdxE=")</f>
        <v>#VALUE!</v>
      </c>
      <c r="S5" t="e">
        <f>AND(Sheet1!Q35,"AAAAAH1TdxI=")</f>
        <v>#VALUE!</v>
      </c>
      <c r="T5" t="e">
        <f>AND(Sheet1!R35,"AAAAAH1TdxM=")</f>
        <v>#VALUE!</v>
      </c>
      <c r="U5" t="e">
        <f>AND(Sheet1!S35,"AAAAAH1TdxQ=")</f>
        <v>#VALUE!</v>
      </c>
      <c r="V5" t="e">
        <f>AND(Sheet1!T35,"AAAAAH1TdxU=")</f>
        <v>#VALUE!</v>
      </c>
      <c r="W5" t="e">
        <f>AND(Sheet1!U35,"AAAAAH1TdxY=")</f>
        <v>#VALUE!</v>
      </c>
      <c r="X5" t="e">
        <f>AND(Sheet1!V35,"AAAAAH1Tdxc=")</f>
        <v>#VALUE!</v>
      </c>
      <c r="Y5" t="e">
        <f>AND(Sheet1!W35,"AAAAAH1Tdxg=")</f>
        <v>#VALUE!</v>
      </c>
      <c r="Z5" t="e">
        <f>AND(Sheet1!X35,"AAAAAH1Tdxk=")</f>
        <v>#VALUE!</v>
      </c>
      <c r="AA5" t="e">
        <f>AND(Sheet1!Y35,"AAAAAH1Tdxo=")</f>
        <v>#VALUE!</v>
      </c>
      <c r="AB5" t="e">
        <f>AND(Sheet1!Z35,"AAAAAH1Tdxs=")</f>
        <v>#VALUE!</v>
      </c>
      <c r="AC5" t="e">
        <f>AND(Sheet1!AA35,"AAAAAH1Tdxw=")</f>
        <v>#VALUE!</v>
      </c>
      <c r="AD5" t="e">
        <f>AND(Sheet1!AB35,"AAAAAH1Tdx0=")</f>
        <v>#VALUE!</v>
      </c>
      <c r="AE5">
        <f>IF(Sheet1!36:36,"AAAAAH1Tdx4=",0)</f>
        <v>0</v>
      </c>
      <c r="AF5" t="e">
        <f>AND(Sheet1!A36,"AAAAAH1Tdx8=")</f>
        <v>#VALUE!</v>
      </c>
      <c r="AG5" t="e">
        <f>AND(Sheet1!B36,"AAAAAH1TdyA=")</f>
        <v>#VALUE!</v>
      </c>
      <c r="AH5" t="e">
        <f>AND(Sheet1!C36,"AAAAAH1TdyE=")</f>
        <v>#VALUE!</v>
      </c>
      <c r="AI5" t="e">
        <f>AND(Sheet1!D36,"AAAAAH1TdyI=")</f>
        <v>#VALUE!</v>
      </c>
      <c r="AJ5" t="e">
        <f>AND(Sheet1!E36,"AAAAAH1TdyM=")</f>
        <v>#VALUE!</v>
      </c>
      <c r="AK5" t="e">
        <f>AND(Sheet1!F36,"AAAAAH1TdyQ=")</f>
        <v>#VALUE!</v>
      </c>
      <c r="AL5" t="e">
        <f>AND(Sheet1!G36,"AAAAAH1TdyU=")</f>
        <v>#VALUE!</v>
      </c>
      <c r="AM5" t="e">
        <f>AND(Sheet1!H36,"AAAAAH1TdyY=")</f>
        <v>#VALUE!</v>
      </c>
      <c r="AN5" t="e">
        <f>AND(Sheet1!I36,"AAAAAH1Tdyc=")</f>
        <v>#VALUE!</v>
      </c>
      <c r="AO5" t="e">
        <f>AND(Sheet1!J36,"AAAAAH1Tdyg=")</f>
        <v>#VALUE!</v>
      </c>
      <c r="AP5" t="e">
        <f>AND(Sheet1!K36,"AAAAAH1Tdyk=")</f>
        <v>#VALUE!</v>
      </c>
      <c r="AQ5" t="e">
        <f>AND(Sheet1!L36,"AAAAAH1Tdyo=")</f>
        <v>#VALUE!</v>
      </c>
      <c r="AR5" t="e">
        <f>AND(Sheet1!M36,"AAAAAH1Tdys=")</f>
        <v>#VALUE!</v>
      </c>
      <c r="AS5" t="e">
        <f>AND(Sheet1!N36,"AAAAAH1Tdyw=")</f>
        <v>#VALUE!</v>
      </c>
      <c r="AT5" t="e">
        <f>AND(Sheet1!O36,"AAAAAH1Tdy0=")</f>
        <v>#VALUE!</v>
      </c>
      <c r="AU5" t="e">
        <f>AND(Sheet1!P36,"AAAAAH1Tdy4=")</f>
        <v>#VALUE!</v>
      </c>
      <c r="AV5" t="e">
        <f>AND(Sheet1!Q36,"AAAAAH1Tdy8=")</f>
        <v>#VALUE!</v>
      </c>
      <c r="AW5" t="e">
        <f>AND(Sheet1!R36,"AAAAAH1TdzA=")</f>
        <v>#VALUE!</v>
      </c>
      <c r="AX5" t="e">
        <f>AND(Sheet1!S36,"AAAAAH1TdzE=")</f>
        <v>#VALUE!</v>
      </c>
      <c r="AY5" t="e">
        <f>AND(Sheet1!T36,"AAAAAH1TdzI=")</f>
        <v>#VALUE!</v>
      </c>
      <c r="AZ5" t="e">
        <f>AND(Sheet1!U36,"AAAAAH1TdzM=")</f>
        <v>#VALUE!</v>
      </c>
      <c r="BA5" t="e">
        <f>AND(Sheet1!V36,"AAAAAH1TdzQ=")</f>
        <v>#VALUE!</v>
      </c>
      <c r="BB5" t="e">
        <f>AND(Sheet1!W36,"AAAAAH1TdzU=")</f>
        <v>#VALUE!</v>
      </c>
      <c r="BC5" t="e">
        <f>AND(Sheet1!X36,"AAAAAH1TdzY=")</f>
        <v>#VALUE!</v>
      </c>
      <c r="BD5" t="e">
        <f>AND(Sheet1!Y36,"AAAAAH1Tdzc=")</f>
        <v>#VALUE!</v>
      </c>
      <c r="BE5" t="e">
        <f>AND(Sheet1!Z36,"AAAAAH1Tdzg=")</f>
        <v>#VALUE!</v>
      </c>
      <c r="BF5" t="e">
        <f>AND(Sheet1!AA36,"AAAAAH1Tdzk=")</f>
        <v>#VALUE!</v>
      </c>
      <c r="BG5" t="e">
        <f>AND(Sheet1!AB36,"AAAAAH1Tdzo=")</f>
        <v>#VALUE!</v>
      </c>
      <c r="BH5">
        <f>IF(Sheet1!37:37,"AAAAAH1Tdzs=",0)</f>
        <v>0</v>
      </c>
      <c r="BI5" t="e">
        <f>AND(Sheet1!A37,"AAAAAH1Tdzw=")</f>
        <v>#VALUE!</v>
      </c>
      <c r="BJ5" t="e">
        <f>AND(Sheet1!B37,"AAAAAH1Tdz0=")</f>
        <v>#VALUE!</v>
      </c>
      <c r="BK5" t="e">
        <f>AND(Sheet1!C37,"AAAAAH1Tdz4=")</f>
        <v>#VALUE!</v>
      </c>
      <c r="BL5" t="e">
        <f>AND(Sheet1!D37,"AAAAAH1Tdz8=")</f>
        <v>#VALUE!</v>
      </c>
      <c r="BM5" t="e">
        <f>AND(Sheet1!E37,"AAAAAH1Td0A=")</f>
        <v>#VALUE!</v>
      </c>
      <c r="BN5" t="e">
        <f>AND(Sheet1!F37,"AAAAAH1Td0E=")</f>
        <v>#VALUE!</v>
      </c>
      <c r="BO5" t="e">
        <f>AND(Sheet1!G37,"AAAAAH1Td0I=")</f>
        <v>#VALUE!</v>
      </c>
      <c r="BP5" t="e">
        <f>AND(Sheet1!H37,"AAAAAH1Td0M=")</f>
        <v>#VALUE!</v>
      </c>
      <c r="BQ5" t="e">
        <f>AND(Sheet1!I37,"AAAAAH1Td0Q=")</f>
        <v>#VALUE!</v>
      </c>
      <c r="BR5" t="e">
        <f>AND(Sheet1!J37,"AAAAAH1Td0U=")</f>
        <v>#VALUE!</v>
      </c>
      <c r="BS5" t="e">
        <f>AND(Sheet1!K37,"AAAAAH1Td0Y=")</f>
        <v>#VALUE!</v>
      </c>
      <c r="BT5" t="e">
        <f>AND(Sheet1!L37,"AAAAAH1Td0c=")</f>
        <v>#VALUE!</v>
      </c>
      <c r="BU5" t="e">
        <f>AND(Sheet1!M37,"AAAAAH1Td0g=")</f>
        <v>#VALUE!</v>
      </c>
      <c r="BV5" t="e">
        <f>AND(Sheet1!N37,"AAAAAH1Td0k=")</f>
        <v>#VALUE!</v>
      </c>
      <c r="BW5" t="e">
        <f>AND(Sheet1!O37,"AAAAAH1Td0o=")</f>
        <v>#VALUE!</v>
      </c>
      <c r="BX5" t="e">
        <f>AND(Sheet1!P37,"AAAAAH1Td0s=")</f>
        <v>#VALUE!</v>
      </c>
      <c r="BY5" t="e">
        <f>AND(Sheet1!Q37,"AAAAAH1Td0w=")</f>
        <v>#VALUE!</v>
      </c>
      <c r="BZ5" t="e">
        <f>AND(Sheet1!R37,"AAAAAH1Td00=")</f>
        <v>#VALUE!</v>
      </c>
      <c r="CA5" t="e">
        <f>AND(Sheet1!S37,"AAAAAH1Td04=")</f>
        <v>#VALUE!</v>
      </c>
      <c r="CB5" t="e">
        <f>AND(Sheet1!T37,"AAAAAH1Td08=")</f>
        <v>#VALUE!</v>
      </c>
      <c r="CC5" t="e">
        <f>AND(Sheet1!U37,"AAAAAH1Td1A=")</f>
        <v>#VALUE!</v>
      </c>
      <c r="CD5" t="e">
        <f>AND(Sheet1!V37,"AAAAAH1Td1E=")</f>
        <v>#VALUE!</v>
      </c>
      <c r="CE5" t="e">
        <f>AND(Sheet1!W37,"AAAAAH1Td1I=")</f>
        <v>#VALUE!</v>
      </c>
      <c r="CF5" t="e">
        <f>AND(Sheet1!X37,"AAAAAH1Td1M=")</f>
        <v>#VALUE!</v>
      </c>
      <c r="CG5" t="e">
        <f>AND(Sheet1!Y37,"AAAAAH1Td1Q=")</f>
        <v>#VALUE!</v>
      </c>
      <c r="CH5" t="e">
        <f>AND(Sheet1!Z37,"AAAAAH1Td1U=")</f>
        <v>#VALUE!</v>
      </c>
      <c r="CI5" t="e">
        <f>AND(Sheet1!AA37,"AAAAAH1Td1Y=")</f>
        <v>#VALUE!</v>
      </c>
      <c r="CJ5" t="e">
        <f>AND(Sheet1!AB37,"AAAAAH1Td1c=")</f>
        <v>#VALUE!</v>
      </c>
      <c r="CK5">
        <f>IF(Sheet1!38:38,"AAAAAH1Td1g=",0)</f>
        <v>0</v>
      </c>
      <c r="CL5" t="e">
        <f>AND(Sheet1!A38,"AAAAAH1Td1k=")</f>
        <v>#VALUE!</v>
      </c>
      <c r="CM5" t="e">
        <f>AND(Sheet1!B38,"AAAAAH1Td1o=")</f>
        <v>#VALUE!</v>
      </c>
      <c r="CN5" t="e">
        <f>AND(Sheet1!C38,"AAAAAH1Td1s=")</f>
        <v>#VALUE!</v>
      </c>
      <c r="CO5" t="e">
        <f>AND(Sheet1!D38,"AAAAAH1Td1w=")</f>
        <v>#VALUE!</v>
      </c>
      <c r="CP5" t="e">
        <f>AND(Sheet1!E38,"AAAAAH1Td10=")</f>
        <v>#VALUE!</v>
      </c>
      <c r="CQ5" t="e">
        <f>AND(Sheet1!F38,"AAAAAH1Td14=")</f>
        <v>#VALUE!</v>
      </c>
      <c r="CR5" t="e">
        <f>AND(Sheet1!G38,"AAAAAH1Td18=")</f>
        <v>#VALUE!</v>
      </c>
      <c r="CS5" t="e">
        <f>AND(Sheet1!H38,"AAAAAH1Td2A=")</f>
        <v>#VALUE!</v>
      </c>
      <c r="CT5" t="e">
        <f>AND(Sheet1!I38,"AAAAAH1Td2E=")</f>
        <v>#VALUE!</v>
      </c>
      <c r="CU5" t="e">
        <f>AND(Sheet1!J38,"AAAAAH1Td2I=")</f>
        <v>#VALUE!</v>
      </c>
      <c r="CV5" t="e">
        <f>AND(Sheet1!K38,"AAAAAH1Td2M=")</f>
        <v>#VALUE!</v>
      </c>
      <c r="CW5" t="e">
        <f>AND(Sheet1!L38,"AAAAAH1Td2Q=")</f>
        <v>#VALUE!</v>
      </c>
      <c r="CX5" t="e">
        <f>AND(Sheet1!M38,"AAAAAH1Td2U=")</f>
        <v>#VALUE!</v>
      </c>
      <c r="CY5" t="e">
        <f>AND(Sheet1!N38,"AAAAAH1Td2Y=")</f>
        <v>#VALUE!</v>
      </c>
      <c r="CZ5" t="e">
        <f>AND(Sheet1!O38,"AAAAAH1Td2c=")</f>
        <v>#VALUE!</v>
      </c>
      <c r="DA5" t="e">
        <f>AND(Sheet1!P38,"AAAAAH1Td2g=")</f>
        <v>#VALUE!</v>
      </c>
      <c r="DB5" t="e">
        <f>AND(Sheet1!Q38,"AAAAAH1Td2k=")</f>
        <v>#VALUE!</v>
      </c>
      <c r="DC5" t="e">
        <f>AND(Sheet1!R38,"AAAAAH1Td2o=")</f>
        <v>#VALUE!</v>
      </c>
      <c r="DD5" t="e">
        <f>AND(Sheet1!S38,"AAAAAH1Td2s=")</f>
        <v>#VALUE!</v>
      </c>
      <c r="DE5" t="e">
        <f>AND(Sheet1!T38,"AAAAAH1Td2w=")</f>
        <v>#VALUE!</v>
      </c>
      <c r="DF5" t="e">
        <f>AND(Sheet1!U38,"AAAAAH1Td20=")</f>
        <v>#VALUE!</v>
      </c>
      <c r="DG5" t="e">
        <f>AND(Sheet1!V38,"AAAAAH1Td24=")</f>
        <v>#VALUE!</v>
      </c>
      <c r="DH5" t="e">
        <f>AND(Sheet1!W38,"AAAAAH1Td28=")</f>
        <v>#VALUE!</v>
      </c>
      <c r="DI5" t="e">
        <f>AND(Sheet1!X38,"AAAAAH1Td3A=")</f>
        <v>#VALUE!</v>
      </c>
      <c r="DJ5" t="e">
        <f>AND(Sheet1!Y38,"AAAAAH1Td3E=")</f>
        <v>#VALUE!</v>
      </c>
      <c r="DK5" t="e">
        <f>AND(Sheet1!Z38,"AAAAAH1Td3I=")</f>
        <v>#VALUE!</v>
      </c>
      <c r="DL5" t="e">
        <f>AND(Sheet1!AA38,"AAAAAH1Td3M=")</f>
        <v>#VALUE!</v>
      </c>
      <c r="DM5" t="e">
        <f>AND(Sheet1!AB38,"AAAAAH1Td3Q=")</f>
        <v>#VALUE!</v>
      </c>
      <c r="DN5">
        <f>IF(Sheet1!39:39,"AAAAAH1Td3U=",0)</f>
        <v>0</v>
      </c>
      <c r="DO5" t="e">
        <f>AND(Sheet1!A39,"AAAAAH1Td3Y=")</f>
        <v>#VALUE!</v>
      </c>
      <c r="DP5" t="e">
        <f>AND(Sheet1!B39,"AAAAAH1Td3c=")</f>
        <v>#VALUE!</v>
      </c>
      <c r="DQ5" t="e">
        <f>AND(Sheet1!C39,"AAAAAH1Td3g=")</f>
        <v>#VALUE!</v>
      </c>
      <c r="DR5" t="e">
        <f>AND(Sheet1!D39,"AAAAAH1Td3k=")</f>
        <v>#VALUE!</v>
      </c>
      <c r="DS5" t="e">
        <f>AND(Sheet1!E39,"AAAAAH1Td3o=")</f>
        <v>#VALUE!</v>
      </c>
      <c r="DT5" t="e">
        <f>AND(Sheet1!F39,"AAAAAH1Td3s=")</f>
        <v>#VALUE!</v>
      </c>
      <c r="DU5" t="e">
        <f>AND(Sheet1!G39,"AAAAAH1Td3w=")</f>
        <v>#VALUE!</v>
      </c>
      <c r="DV5" t="e">
        <f>AND(Sheet1!H39,"AAAAAH1Td30=")</f>
        <v>#VALUE!</v>
      </c>
      <c r="DW5" t="e">
        <f>AND(Sheet1!I39,"AAAAAH1Td34=")</f>
        <v>#VALUE!</v>
      </c>
      <c r="DX5" t="e">
        <f>AND(Sheet1!J39,"AAAAAH1Td38=")</f>
        <v>#VALUE!</v>
      </c>
      <c r="DY5" t="e">
        <f>AND(Sheet1!K39,"AAAAAH1Td4A=")</f>
        <v>#VALUE!</v>
      </c>
      <c r="DZ5" t="e">
        <f>AND(Sheet1!L39,"AAAAAH1Td4E=")</f>
        <v>#VALUE!</v>
      </c>
      <c r="EA5" t="e">
        <f>AND(Sheet1!M39,"AAAAAH1Td4I=")</f>
        <v>#VALUE!</v>
      </c>
      <c r="EB5" t="e">
        <f>AND(Sheet1!N39,"AAAAAH1Td4M=")</f>
        <v>#VALUE!</v>
      </c>
      <c r="EC5" t="e">
        <f>AND(Sheet1!O39,"AAAAAH1Td4Q=")</f>
        <v>#VALUE!</v>
      </c>
      <c r="ED5" t="e">
        <f>AND(Sheet1!P39,"AAAAAH1Td4U=")</f>
        <v>#VALUE!</v>
      </c>
      <c r="EE5" t="e">
        <f>AND(Sheet1!Q39,"AAAAAH1Td4Y=")</f>
        <v>#VALUE!</v>
      </c>
      <c r="EF5" t="e">
        <f>AND(Sheet1!R39,"AAAAAH1Td4c=")</f>
        <v>#VALUE!</v>
      </c>
      <c r="EG5" t="e">
        <f>AND(Sheet1!S39,"AAAAAH1Td4g=")</f>
        <v>#VALUE!</v>
      </c>
      <c r="EH5" t="e">
        <f>AND(Sheet1!T39,"AAAAAH1Td4k=")</f>
        <v>#VALUE!</v>
      </c>
      <c r="EI5" t="e">
        <f>AND(Sheet1!U39,"AAAAAH1Td4o=")</f>
        <v>#VALUE!</v>
      </c>
      <c r="EJ5" t="e">
        <f>AND(Sheet1!V39,"AAAAAH1Td4s=")</f>
        <v>#VALUE!</v>
      </c>
      <c r="EK5" t="e">
        <f>AND(Sheet1!W39,"AAAAAH1Td4w=")</f>
        <v>#VALUE!</v>
      </c>
      <c r="EL5" t="e">
        <f>AND(Sheet1!X39,"AAAAAH1Td40=")</f>
        <v>#VALUE!</v>
      </c>
      <c r="EM5" t="e">
        <f>AND(Sheet1!Y39,"AAAAAH1Td44=")</f>
        <v>#VALUE!</v>
      </c>
      <c r="EN5" t="e">
        <f>AND(Sheet1!Z39,"AAAAAH1Td48=")</f>
        <v>#VALUE!</v>
      </c>
      <c r="EO5" t="e">
        <f>AND(Sheet1!AA39,"AAAAAH1Td5A=")</f>
        <v>#VALUE!</v>
      </c>
      <c r="EP5" t="e">
        <f>AND(Sheet1!AB39,"AAAAAH1Td5E=")</f>
        <v>#VALUE!</v>
      </c>
      <c r="EQ5">
        <f>IF(Sheet1!40:40,"AAAAAH1Td5I=",0)</f>
        <v>0</v>
      </c>
      <c r="ER5" t="e">
        <f>AND(Sheet1!A40,"AAAAAH1Td5M=")</f>
        <v>#VALUE!</v>
      </c>
      <c r="ES5" t="e">
        <f>AND(Sheet1!B40,"AAAAAH1Td5Q=")</f>
        <v>#VALUE!</v>
      </c>
      <c r="ET5" t="e">
        <f>AND(Sheet1!C40,"AAAAAH1Td5U=")</f>
        <v>#VALUE!</v>
      </c>
      <c r="EU5" t="e">
        <f>AND(Sheet1!D40,"AAAAAH1Td5Y=")</f>
        <v>#VALUE!</v>
      </c>
      <c r="EV5" t="e">
        <f>AND(Sheet1!E40,"AAAAAH1Td5c=")</f>
        <v>#VALUE!</v>
      </c>
      <c r="EW5" t="e">
        <f>AND(Sheet1!F40,"AAAAAH1Td5g=")</f>
        <v>#VALUE!</v>
      </c>
      <c r="EX5" t="e">
        <f>AND(Sheet1!G40,"AAAAAH1Td5k=")</f>
        <v>#VALUE!</v>
      </c>
      <c r="EY5" t="e">
        <f>AND(Sheet1!H40,"AAAAAH1Td5o=")</f>
        <v>#VALUE!</v>
      </c>
      <c r="EZ5" t="e">
        <f>AND(Sheet1!I40,"AAAAAH1Td5s=")</f>
        <v>#VALUE!</v>
      </c>
      <c r="FA5" t="e">
        <f>AND(Sheet1!J40,"AAAAAH1Td5w=")</f>
        <v>#VALUE!</v>
      </c>
      <c r="FB5" t="e">
        <f>AND(Sheet1!K40,"AAAAAH1Td50=")</f>
        <v>#VALUE!</v>
      </c>
      <c r="FC5" t="e">
        <f>AND(Sheet1!L40,"AAAAAH1Td54=")</f>
        <v>#VALUE!</v>
      </c>
      <c r="FD5" t="e">
        <f>AND(Sheet1!M40,"AAAAAH1Td58=")</f>
        <v>#VALUE!</v>
      </c>
      <c r="FE5" t="e">
        <f>AND(Sheet1!N40,"AAAAAH1Td6A=")</f>
        <v>#VALUE!</v>
      </c>
      <c r="FF5" t="e">
        <f>AND(Sheet1!O40,"AAAAAH1Td6E=")</f>
        <v>#VALUE!</v>
      </c>
      <c r="FG5" t="e">
        <f>AND(Sheet1!P40,"AAAAAH1Td6I=")</f>
        <v>#VALUE!</v>
      </c>
      <c r="FH5" t="e">
        <f>AND(Sheet1!Q40,"AAAAAH1Td6M=")</f>
        <v>#VALUE!</v>
      </c>
      <c r="FI5" t="e">
        <f>AND(Sheet1!R40,"AAAAAH1Td6Q=")</f>
        <v>#VALUE!</v>
      </c>
      <c r="FJ5" t="e">
        <f>AND(Sheet1!S40,"AAAAAH1Td6U=")</f>
        <v>#VALUE!</v>
      </c>
      <c r="FK5" t="e">
        <f>AND(Sheet1!T40,"AAAAAH1Td6Y=")</f>
        <v>#VALUE!</v>
      </c>
      <c r="FL5" t="e">
        <f>AND(Sheet1!U40,"AAAAAH1Td6c=")</f>
        <v>#VALUE!</v>
      </c>
      <c r="FM5" t="e">
        <f>AND(Sheet1!V40,"AAAAAH1Td6g=")</f>
        <v>#VALUE!</v>
      </c>
      <c r="FN5" t="e">
        <f>AND(Sheet1!W40,"AAAAAH1Td6k=")</f>
        <v>#VALUE!</v>
      </c>
      <c r="FO5" t="e">
        <f>AND(Sheet1!X40,"AAAAAH1Td6o=")</f>
        <v>#VALUE!</v>
      </c>
      <c r="FP5" t="e">
        <f>AND(Sheet1!Y40,"AAAAAH1Td6s=")</f>
        <v>#VALUE!</v>
      </c>
      <c r="FQ5" t="e">
        <f>AND(Sheet1!Z40,"AAAAAH1Td6w=")</f>
        <v>#VALUE!</v>
      </c>
      <c r="FR5" t="e">
        <f>AND(Sheet1!AA40,"AAAAAH1Td60=")</f>
        <v>#VALUE!</v>
      </c>
      <c r="FS5" t="e">
        <f>AND(Sheet1!AB40,"AAAAAH1Td64=")</f>
        <v>#VALUE!</v>
      </c>
      <c r="FT5">
        <f>IF(Sheet1!41:41,"AAAAAH1Td68=",0)</f>
        <v>0</v>
      </c>
      <c r="FU5" t="e">
        <f>AND(Sheet1!A41,"AAAAAH1Td7A=")</f>
        <v>#VALUE!</v>
      </c>
      <c r="FV5" t="e">
        <f>AND(Sheet1!B41,"AAAAAH1Td7E=")</f>
        <v>#VALUE!</v>
      </c>
      <c r="FW5" t="e">
        <f>AND(Sheet1!C41,"AAAAAH1Td7I=")</f>
        <v>#VALUE!</v>
      </c>
      <c r="FX5" t="e">
        <f>AND(Sheet1!D41,"AAAAAH1Td7M=")</f>
        <v>#VALUE!</v>
      </c>
      <c r="FY5" t="e">
        <f>AND(Sheet1!E41,"AAAAAH1Td7Q=")</f>
        <v>#VALUE!</v>
      </c>
      <c r="FZ5" t="e">
        <f>AND(Sheet1!F41,"AAAAAH1Td7U=")</f>
        <v>#VALUE!</v>
      </c>
      <c r="GA5" t="e">
        <f>AND(Sheet1!G41,"AAAAAH1Td7Y=")</f>
        <v>#VALUE!</v>
      </c>
      <c r="GB5" t="e">
        <f>AND(Sheet1!H41,"AAAAAH1Td7c=")</f>
        <v>#VALUE!</v>
      </c>
      <c r="GC5" t="e">
        <f>AND(Sheet1!I41,"AAAAAH1Td7g=")</f>
        <v>#VALUE!</v>
      </c>
      <c r="GD5" t="e">
        <f>AND(Sheet1!J41,"AAAAAH1Td7k=")</f>
        <v>#VALUE!</v>
      </c>
      <c r="GE5" t="e">
        <f>AND(Sheet1!K41,"AAAAAH1Td7o=")</f>
        <v>#VALUE!</v>
      </c>
      <c r="GF5" t="e">
        <f>AND(Sheet1!L41,"AAAAAH1Td7s=")</f>
        <v>#VALUE!</v>
      </c>
      <c r="GG5" t="e">
        <f>AND(Sheet1!M41,"AAAAAH1Td7w=")</f>
        <v>#VALUE!</v>
      </c>
      <c r="GH5" t="e">
        <f>AND(Sheet1!N41,"AAAAAH1Td70=")</f>
        <v>#VALUE!</v>
      </c>
      <c r="GI5" t="e">
        <f>AND(Sheet1!O41,"AAAAAH1Td74=")</f>
        <v>#VALUE!</v>
      </c>
      <c r="GJ5" t="e">
        <f>AND(Sheet1!P41,"AAAAAH1Td78=")</f>
        <v>#VALUE!</v>
      </c>
      <c r="GK5" t="e">
        <f>AND(Sheet1!Q41,"AAAAAH1Td8A=")</f>
        <v>#VALUE!</v>
      </c>
      <c r="GL5" t="e">
        <f>AND(Sheet1!R41,"AAAAAH1Td8E=")</f>
        <v>#VALUE!</v>
      </c>
      <c r="GM5" t="e">
        <f>AND(Sheet1!S41,"AAAAAH1Td8I=")</f>
        <v>#VALUE!</v>
      </c>
      <c r="GN5" t="e">
        <f>AND(Sheet1!T41,"AAAAAH1Td8M=")</f>
        <v>#VALUE!</v>
      </c>
      <c r="GO5" t="e">
        <f>AND(Sheet1!U41,"AAAAAH1Td8Q=")</f>
        <v>#VALUE!</v>
      </c>
      <c r="GP5" t="e">
        <f>AND(Sheet1!V41,"AAAAAH1Td8U=")</f>
        <v>#VALUE!</v>
      </c>
      <c r="GQ5" t="e">
        <f>AND(Sheet1!W41,"AAAAAH1Td8Y=")</f>
        <v>#VALUE!</v>
      </c>
      <c r="GR5" t="e">
        <f>AND(Sheet1!X41,"AAAAAH1Td8c=")</f>
        <v>#VALUE!</v>
      </c>
      <c r="GS5" t="e">
        <f>AND(Sheet1!Y41,"AAAAAH1Td8g=")</f>
        <v>#VALUE!</v>
      </c>
      <c r="GT5" t="e">
        <f>AND(Sheet1!Z41,"AAAAAH1Td8k=")</f>
        <v>#VALUE!</v>
      </c>
      <c r="GU5" t="e">
        <f>AND(Sheet1!AA41,"AAAAAH1Td8o=")</f>
        <v>#VALUE!</v>
      </c>
      <c r="GV5" t="e">
        <f>AND(Sheet1!AB41,"AAAAAH1Td8s=")</f>
        <v>#VALUE!</v>
      </c>
      <c r="GW5">
        <f>IF(Sheet1!42:42,"AAAAAH1Td8w=",0)</f>
        <v>0</v>
      </c>
      <c r="GX5" t="e">
        <f>AND(Sheet1!A42,"AAAAAH1Td80=")</f>
        <v>#VALUE!</v>
      </c>
      <c r="GY5" t="e">
        <f>AND(Sheet1!B42,"AAAAAH1Td84=")</f>
        <v>#VALUE!</v>
      </c>
      <c r="GZ5" t="e">
        <f>AND(Sheet1!C42,"AAAAAH1Td88=")</f>
        <v>#VALUE!</v>
      </c>
      <c r="HA5" t="e">
        <f>AND(Sheet1!D42,"AAAAAH1Td9A=")</f>
        <v>#VALUE!</v>
      </c>
      <c r="HB5" t="e">
        <f>AND(Sheet1!E42,"AAAAAH1Td9E=")</f>
        <v>#VALUE!</v>
      </c>
      <c r="HC5" t="e">
        <f>AND(Sheet1!F42,"AAAAAH1Td9I=")</f>
        <v>#VALUE!</v>
      </c>
      <c r="HD5" t="e">
        <f>AND(Sheet1!G42,"AAAAAH1Td9M=")</f>
        <v>#VALUE!</v>
      </c>
      <c r="HE5" t="e">
        <f>AND(Sheet1!H42,"AAAAAH1Td9Q=")</f>
        <v>#VALUE!</v>
      </c>
      <c r="HF5" t="e">
        <f>AND(Sheet1!I42,"AAAAAH1Td9U=")</f>
        <v>#VALUE!</v>
      </c>
      <c r="HG5" t="e">
        <f>AND(Sheet1!J42,"AAAAAH1Td9Y=")</f>
        <v>#VALUE!</v>
      </c>
      <c r="HH5" t="e">
        <f>AND(Sheet1!K42,"AAAAAH1Td9c=")</f>
        <v>#VALUE!</v>
      </c>
      <c r="HI5" t="e">
        <f>AND(Sheet1!L42,"AAAAAH1Td9g=")</f>
        <v>#VALUE!</v>
      </c>
      <c r="HJ5" t="e">
        <f>AND(Sheet1!M42,"AAAAAH1Td9k=")</f>
        <v>#VALUE!</v>
      </c>
      <c r="HK5" t="e">
        <f>AND(Sheet1!N42,"AAAAAH1Td9o=")</f>
        <v>#VALUE!</v>
      </c>
      <c r="HL5" t="e">
        <f>AND(Sheet1!O42,"AAAAAH1Td9s=")</f>
        <v>#VALUE!</v>
      </c>
      <c r="HM5" t="e">
        <f>AND(Sheet1!P42,"AAAAAH1Td9w=")</f>
        <v>#VALUE!</v>
      </c>
      <c r="HN5" t="e">
        <f>AND(Sheet1!Q42,"AAAAAH1Td90=")</f>
        <v>#VALUE!</v>
      </c>
      <c r="HO5" t="e">
        <f>AND(Sheet1!R42,"AAAAAH1Td94=")</f>
        <v>#VALUE!</v>
      </c>
      <c r="HP5" t="e">
        <f>AND(Sheet1!S42,"AAAAAH1Td98=")</f>
        <v>#VALUE!</v>
      </c>
      <c r="HQ5" t="e">
        <f>AND(Sheet1!T42,"AAAAAH1Td+A=")</f>
        <v>#VALUE!</v>
      </c>
      <c r="HR5" t="e">
        <f>AND(Sheet1!U42,"AAAAAH1Td+E=")</f>
        <v>#VALUE!</v>
      </c>
      <c r="HS5" t="e">
        <f>AND(Sheet1!V42,"AAAAAH1Td+I=")</f>
        <v>#VALUE!</v>
      </c>
      <c r="HT5" t="e">
        <f>AND(Sheet1!W42,"AAAAAH1Td+M=")</f>
        <v>#VALUE!</v>
      </c>
      <c r="HU5" t="e">
        <f>AND(Sheet1!X42,"AAAAAH1Td+Q=")</f>
        <v>#VALUE!</v>
      </c>
      <c r="HV5" t="e">
        <f>AND(Sheet1!Y42,"AAAAAH1Td+U=")</f>
        <v>#VALUE!</v>
      </c>
      <c r="HW5" t="e">
        <f>AND(Sheet1!Z42,"AAAAAH1Td+Y=")</f>
        <v>#VALUE!</v>
      </c>
      <c r="HX5" t="e">
        <f>AND(Sheet1!AA42,"AAAAAH1Td+c=")</f>
        <v>#VALUE!</v>
      </c>
      <c r="HY5" t="e">
        <f>AND(Sheet1!AB42,"AAAAAH1Td+g=")</f>
        <v>#VALUE!</v>
      </c>
      <c r="HZ5">
        <f>IF(Sheet1!43:43,"AAAAAH1Td+k=",0)</f>
        <v>0</v>
      </c>
      <c r="IA5" t="e">
        <f>AND(Sheet1!A43,"AAAAAH1Td+o=")</f>
        <v>#VALUE!</v>
      </c>
      <c r="IB5" t="e">
        <f>AND(Sheet1!B43,"AAAAAH1Td+s=")</f>
        <v>#VALUE!</v>
      </c>
      <c r="IC5" t="e">
        <f>AND(Sheet1!C43,"AAAAAH1Td+w=")</f>
        <v>#VALUE!</v>
      </c>
      <c r="ID5" t="e">
        <f>AND(Sheet1!D43,"AAAAAH1Td+0=")</f>
        <v>#VALUE!</v>
      </c>
      <c r="IE5" t="e">
        <f>AND(Sheet1!E43,"AAAAAH1Td+4=")</f>
        <v>#VALUE!</v>
      </c>
      <c r="IF5" t="e">
        <f>AND(Sheet1!F43,"AAAAAH1Td+8=")</f>
        <v>#VALUE!</v>
      </c>
      <c r="IG5" t="e">
        <f>AND(Sheet1!G43,"AAAAAH1Td/A=")</f>
        <v>#VALUE!</v>
      </c>
      <c r="IH5" t="e">
        <f>AND(Sheet1!H43,"AAAAAH1Td/E=")</f>
        <v>#VALUE!</v>
      </c>
      <c r="II5" t="e">
        <f>AND(Sheet1!I43,"AAAAAH1Td/I=")</f>
        <v>#VALUE!</v>
      </c>
      <c r="IJ5" t="e">
        <f>AND(Sheet1!J43,"AAAAAH1Td/M=")</f>
        <v>#VALUE!</v>
      </c>
      <c r="IK5" t="e">
        <f>AND(Sheet1!K43,"AAAAAH1Td/Q=")</f>
        <v>#VALUE!</v>
      </c>
      <c r="IL5" t="e">
        <f>AND(Sheet1!L43,"AAAAAH1Td/U=")</f>
        <v>#VALUE!</v>
      </c>
      <c r="IM5" t="e">
        <f>AND(Sheet1!M43,"AAAAAH1Td/Y=")</f>
        <v>#VALUE!</v>
      </c>
      <c r="IN5" t="e">
        <f>AND(Sheet1!N43,"AAAAAH1Td/c=")</f>
        <v>#VALUE!</v>
      </c>
      <c r="IO5" t="e">
        <f>AND(Sheet1!O43,"AAAAAH1Td/g=")</f>
        <v>#VALUE!</v>
      </c>
      <c r="IP5" t="e">
        <f>AND(Sheet1!P43,"AAAAAH1Td/k=")</f>
        <v>#VALUE!</v>
      </c>
      <c r="IQ5" t="e">
        <f>AND(Sheet1!Q43,"AAAAAH1Td/o=")</f>
        <v>#VALUE!</v>
      </c>
      <c r="IR5" t="e">
        <f>AND(Sheet1!R43,"AAAAAH1Td/s=")</f>
        <v>#VALUE!</v>
      </c>
      <c r="IS5" t="e">
        <f>AND(Sheet1!S43,"AAAAAH1Td/w=")</f>
        <v>#VALUE!</v>
      </c>
      <c r="IT5" t="e">
        <f>AND(Sheet1!T43,"AAAAAH1Td/0=")</f>
        <v>#VALUE!</v>
      </c>
      <c r="IU5" t="e">
        <f>AND(Sheet1!U43,"AAAAAH1Td/4=")</f>
        <v>#VALUE!</v>
      </c>
      <c r="IV5" t="e">
        <f>AND(Sheet1!V43,"AAAAAH1Td/8=")</f>
        <v>#VALUE!</v>
      </c>
    </row>
    <row r="6" spans="1:256" ht="12.75">
      <c r="A6" t="e">
        <f>AND(Sheet1!W43,"AAAAAHf2eQA=")</f>
        <v>#VALUE!</v>
      </c>
      <c r="B6" t="e">
        <f>AND(Sheet1!X43,"AAAAAHf2eQE=")</f>
        <v>#VALUE!</v>
      </c>
      <c r="C6" t="e">
        <f>AND(Sheet1!Y43,"AAAAAHf2eQI=")</f>
        <v>#VALUE!</v>
      </c>
      <c r="D6" t="e">
        <f>AND(Sheet1!Z43,"AAAAAHf2eQM=")</f>
        <v>#VALUE!</v>
      </c>
      <c r="E6" t="e">
        <f>AND(Sheet1!AA43,"AAAAAHf2eQQ=")</f>
        <v>#VALUE!</v>
      </c>
      <c r="F6" t="e">
        <f>AND(Sheet1!AB43,"AAAAAHf2eQU=")</f>
        <v>#VALUE!</v>
      </c>
      <c r="G6">
        <f>IF(Sheet1!44:44,"AAAAAHf2eQY=",0)</f>
        <v>0</v>
      </c>
      <c r="H6" t="e">
        <f>AND(Sheet1!A44,"AAAAAHf2eQc=")</f>
        <v>#VALUE!</v>
      </c>
      <c r="I6" t="e">
        <f>AND(Sheet1!B44,"AAAAAHf2eQg=")</f>
        <v>#VALUE!</v>
      </c>
      <c r="J6" t="e">
        <f>AND(Sheet1!C44,"AAAAAHf2eQk=")</f>
        <v>#VALUE!</v>
      </c>
      <c r="K6" t="e">
        <f>AND(Sheet1!D44,"AAAAAHf2eQo=")</f>
        <v>#VALUE!</v>
      </c>
      <c r="L6" t="e">
        <f>AND(Sheet1!E44,"AAAAAHf2eQs=")</f>
        <v>#VALUE!</v>
      </c>
      <c r="M6" t="e">
        <f>AND(Sheet1!F44,"AAAAAHf2eQw=")</f>
        <v>#VALUE!</v>
      </c>
      <c r="N6" t="e">
        <f>AND(Sheet1!G44,"AAAAAHf2eQ0=")</f>
        <v>#VALUE!</v>
      </c>
      <c r="O6" t="e">
        <f>AND(Sheet1!H44,"AAAAAHf2eQ4=")</f>
        <v>#VALUE!</v>
      </c>
      <c r="P6" t="e">
        <f>AND(Sheet1!I44,"AAAAAHf2eQ8=")</f>
        <v>#VALUE!</v>
      </c>
      <c r="Q6" t="e">
        <f>AND(Sheet1!J44,"AAAAAHf2eRA=")</f>
        <v>#VALUE!</v>
      </c>
      <c r="R6" t="e">
        <f>AND(Sheet1!K44,"AAAAAHf2eRE=")</f>
        <v>#VALUE!</v>
      </c>
      <c r="S6" t="e">
        <f>AND(Sheet1!L44,"AAAAAHf2eRI=")</f>
        <v>#VALUE!</v>
      </c>
      <c r="T6" t="e">
        <f>AND(Sheet1!M44,"AAAAAHf2eRM=")</f>
        <v>#VALUE!</v>
      </c>
      <c r="U6" t="e">
        <f>AND(Sheet1!N44,"AAAAAHf2eRQ=")</f>
        <v>#VALUE!</v>
      </c>
      <c r="V6" t="e">
        <f>AND(Sheet1!O44,"AAAAAHf2eRU=")</f>
        <v>#VALUE!</v>
      </c>
      <c r="W6" t="e">
        <f>AND(Sheet1!P44,"AAAAAHf2eRY=")</f>
        <v>#VALUE!</v>
      </c>
      <c r="X6" t="e">
        <f>AND(Sheet1!Q44,"AAAAAHf2eRc=")</f>
        <v>#VALUE!</v>
      </c>
      <c r="Y6" t="e">
        <f>AND(Sheet1!R44,"AAAAAHf2eRg=")</f>
        <v>#VALUE!</v>
      </c>
      <c r="Z6" t="e">
        <f>AND(Sheet1!S44,"AAAAAHf2eRk=")</f>
        <v>#VALUE!</v>
      </c>
      <c r="AA6" t="e">
        <f>AND(Sheet1!T44,"AAAAAHf2eRo=")</f>
        <v>#VALUE!</v>
      </c>
      <c r="AB6" t="e">
        <f>AND(Sheet1!U44,"AAAAAHf2eRs=")</f>
        <v>#VALUE!</v>
      </c>
      <c r="AC6" t="e">
        <f>AND(Sheet1!V44,"AAAAAHf2eRw=")</f>
        <v>#VALUE!</v>
      </c>
      <c r="AD6" t="e">
        <f>AND(Sheet1!W44,"AAAAAHf2eR0=")</f>
        <v>#VALUE!</v>
      </c>
      <c r="AE6" t="e">
        <f>AND(Sheet1!X44,"AAAAAHf2eR4=")</f>
        <v>#VALUE!</v>
      </c>
      <c r="AF6" t="e">
        <f>AND(Sheet1!Y44,"AAAAAHf2eR8=")</f>
        <v>#VALUE!</v>
      </c>
      <c r="AG6" t="e">
        <f>AND(Sheet1!Z44,"AAAAAHf2eSA=")</f>
        <v>#VALUE!</v>
      </c>
      <c r="AH6" t="e">
        <f>AND(Sheet1!AA44,"AAAAAHf2eSE=")</f>
        <v>#VALUE!</v>
      </c>
      <c r="AI6" t="e">
        <f>AND(Sheet1!AB44,"AAAAAHf2eSI=")</f>
        <v>#VALUE!</v>
      </c>
      <c r="AJ6">
        <f>IF(Sheet1!45:45,"AAAAAHf2eSM=",0)</f>
        <v>0</v>
      </c>
      <c r="AK6" t="e">
        <f>AND(Sheet1!A45,"AAAAAHf2eSQ=")</f>
        <v>#VALUE!</v>
      </c>
      <c r="AL6" t="e">
        <f>AND(Sheet1!B45,"AAAAAHf2eSU=")</f>
        <v>#VALUE!</v>
      </c>
      <c r="AM6" t="e">
        <f>AND(Sheet1!C45,"AAAAAHf2eSY=")</f>
        <v>#VALUE!</v>
      </c>
      <c r="AN6" t="e">
        <f>AND(Sheet1!D45,"AAAAAHf2eSc=")</f>
        <v>#VALUE!</v>
      </c>
      <c r="AO6" t="e">
        <f>AND(Sheet1!E45,"AAAAAHf2eSg=")</f>
        <v>#VALUE!</v>
      </c>
      <c r="AP6" t="e">
        <f>AND(Sheet1!F45,"AAAAAHf2eSk=")</f>
        <v>#VALUE!</v>
      </c>
      <c r="AQ6" t="e">
        <f>AND(Sheet1!G45,"AAAAAHf2eSo=")</f>
        <v>#VALUE!</v>
      </c>
      <c r="AR6" t="e">
        <f>AND(Sheet1!H45,"AAAAAHf2eSs=")</f>
        <v>#VALUE!</v>
      </c>
      <c r="AS6" t="e">
        <f>AND(Sheet1!I45,"AAAAAHf2eSw=")</f>
        <v>#VALUE!</v>
      </c>
      <c r="AT6" t="e">
        <f>AND(Sheet1!J45,"AAAAAHf2eS0=")</f>
        <v>#VALUE!</v>
      </c>
      <c r="AU6" t="e">
        <f>AND(Sheet1!K45,"AAAAAHf2eS4=")</f>
        <v>#VALUE!</v>
      </c>
      <c r="AV6" t="e">
        <f>AND(Sheet1!L45,"AAAAAHf2eS8=")</f>
        <v>#VALUE!</v>
      </c>
      <c r="AW6" t="e">
        <f>AND(Sheet1!M45,"AAAAAHf2eTA=")</f>
        <v>#VALUE!</v>
      </c>
      <c r="AX6" t="e">
        <f>AND(Sheet1!N45,"AAAAAHf2eTE=")</f>
        <v>#VALUE!</v>
      </c>
      <c r="AY6" t="e">
        <f>AND(Sheet1!O45,"AAAAAHf2eTI=")</f>
        <v>#VALUE!</v>
      </c>
      <c r="AZ6" t="e">
        <f>AND(Sheet1!P45,"AAAAAHf2eTM=")</f>
        <v>#VALUE!</v>
      </c>
      <c r="BA6" t="e">
        <f>AND(Sheet1!Q45,"AAAAAHf2eTQ=")</f>
        <v>#VALUE!</v>
      </c>
      <c r="BB6" t="e">
        <f>AND(Sheet1!R45,"AAAAAHf2eTU=")</f>
        <v>#VALUE!</v>
      </c>
      <c r="BC6" t="e">
        <f>AND(Sheet1!S45,"AAAAAHf2eTY=")</f>
        <v>#VALUE!</v>
      </c>
      <c r="BD6" t="e">
        <f>AND(Sheet1!T45,"AAAAAHf2eTc=")</f>
        <v>#VALUE!</v>
      </c>
      <c r="BE6" t="e">
        <f>AND(Sheet1!U45,"AAAAAHf2eTg=")</f>
        <v>#VALUE!</v>
      </c>
      <c r="BF6" t="e">
        <f>AND(Sheet1!V45,"AAAAAHf2eTk=")</f>
        <v>#VALUE!</v>
      </c>
      <c r="BG6" t="e">
        <f>AND(Sheet1!W45,"AAAAAHf2eTo=")</f>
        <v>#VALUE!</v>
      </c>
      <c r="BH6" t="e">
        <f>AND(Sheet1!X45,"AAAAAHf2eTs=")</f>
        <v>#VALUE!</v>
      </c>
      <c r="BI6" t="e">
        <f>AND(Sheet1!Y45,"AAAAAHf2eTw=")</f>
        <v>#VALUE!</v>
      </c>
      <c r="BJ6" t="e">
        <f>AND(Sheet1!Z45,"AAAAAHf2eT0=")</f>
        <v>#VALUE!</v>
      </c>
      <c r="BK6" t="e">
        <f>AND(Sheet1!AA45,"AAAAAHf2eT4=")</f>
        <v>#VALUE!</v>
      </c>
      <c r="BL6" t="e">
        <f>AND(Sheet1!AB45,"AAAAAHf2eT8=")</f>
        <v>#VALUE!</v>
      </c>
      <c r="BM6">
        <f>IF(Sheet1!46:46,"AAAAAHf2eUA=",0)</f>
        <v>0</v>
      </c>
      <c r="BN6" t="e">
        <f>AND(Sheet1!A46,"AAAAAHf2eUE=")</f>
        <v>#VALUE!</v>
      </c>
      <c r="BO6" t="e">
        <f>AND(Sheet1!B46,"AAAAAHf2eUI=")</f>
        <v>#VALUE!</v>
      </c>
      <c r="BP6" t="e">
        <f>AND(Sheet1!C46,"AAAAAHf2eUM=")</f>
        <v>#VALUE!</v>
      </c>
      <c r="BQ6" t="e">
        <f>AND(Sheet1!D46,"AAAAAHf2eUQ=")</f>
        <v>#VALUE!</v>
      </c>
      <c r="BR6" t="e">
        <f>AND(Sheet1!E46,"AAAAAHf2eUU=")</f>
        <v>#VALUE!</v>
      </c>
      <c r="BS6" t="e">
        <f>AND(Sheet1!F46,"AAAAAHf2eUY=")</f>
        <v>#VALUE!</v>
      </c>
      <c r="BT6" t="e">
        <f>AND(Sheet1!G46,"AAAAAHf2eUc=")</f>
        <v>#VALUE!</v>
      </c>
      <c r="BU6" t="e">
        <f>AND(Sheet1!H46,"AAAAAHf2eUg=")</f>
        <v>#VALUE!</v>
      </c>
      <c r="BV6" t="e">
        <f>AND(Sheet1!I46,"AAAAAHf2eUk=")</f>
        <v>#VALUE!</v>
      </c>
      <c r="BW6" t="e">
        <f>AND(Sheet1!J46,"AAAAAHf2eUo=")</f>
        <v>#VALUE!</v>
      </c>
      <c r="BX6" t="e">
        <f>AND(Sheet1!K46,"AAAAAHf2eUs=")</f>
        <v>#VALUE!</v>
      </c>
      <c r="BY6" t="e">
        <f>AND(Sheet1!L46,"AAAAAHf2eUw=")</f>
        <v>#VALUE!</v>
      </c>
      <c r="BZ6" t="e">
        <f>AND(Sheet1!M46,"AAAAAHf2eU0=")</f>
        <v>#VALUE!</v>
      </c>
      <c r="CA6" t="e">
        <f>AND(Sheet1!N46,"AAAAAHf2eU4=")</f>
        <v>#VALUE!</v>
      </c>
      <c r="CB6" t="e">
        <f>AND(Sheet1!O46,"AAAAAHf2eU8=")</f>
        <v>#VALUE!</v>
      </c>
      <c r="CC6" t="e">
        <f>AND(Sheet1!P46,"AAAAAHf2eVA=")</f>
        <v>#VALUE!</v>
      </c>
      <c r="CD6" t="e">
        <f>AND(Sheet1!Q46,"AAAAAHf2eVE=")</f>
        <v>#VALUE!</v>
      </c>
      <c r="CE6" t="e">
        <f>AND(Sheet1!R46,"AAAAAHf2eVI=")</f>
        <v>#VALUE!</v>
      </c>
      <c r="CF6" t="e">
        <f>AND(Sheet1!S46,"AAAAAHf2eVM=")</f>
        <v>#VALUE!</v>
      </c>
      <c r="CG6" t="e">
        <f>AND(Sheet1!T46,"AAAAAHf2eVQ=")</f>
        <v>#VALUE!</v>
      </c>
      <c r="CH6" t="e">
        <f>AND(Sheet1!U46,"AAAAAHf2eVU=")</f>
        <v>#VALUE!</v>
      </c>
      <c r="CI6" t="e">
        <f>AND(Sheet1!V46,"AAAAAHf2eVY=")</f>
        <v>#VALUE!</v>
      </c>
      <c r="CJ6" t="e">
        <f>AND(Sheet1!W46,"AAAAAHf2eVc=")</f>
        <v>#VALUE!</v>
      </c>
      <c r="CK6" t="e">
        <f>AND(Sheet1!X46,"AAAAAHf2eVg=")</f>
        <v>#VALUE!</v>
      </c>
      <c r="CL6" t="e">
        <f>AND(Sheet1!Y46,"AAAAAHf2eVk=")</f>
        <v>#VALUE!</v>
      </c>
      <c r="CM6" t="e">
        <f>AND(Sheet1!Z46,"AAAAAHf2eVo=")</f>
        <v>#VALUE!</v>
      </c>
      <c r="CN6" t="e">
        <f>AND(Sheet1!AA46,"AAAAAHf2eVs=")</f>
        <v>#VALUE!</v>
      </c>
      <c r="CO6" t="e">
        <f>AND(Sheet1!AB46,"AAAAAHf2eVw=")</f>
        <v>#VALUE!</v>
      </c>
      <c r="CP6">
        <f>IF(Sheet1!47:47,"AAAAAHf2eV0=",0)</f>
        <v>0</v>
      </c>
      <c r="CQ6" t="e">
        <f>AND(Sheet1!A47,"AAAAAHf2eV4=")</f>
        <v>#VALUE!</v>
      </c>
      <c r="CR6" t="e">
        <f>AND(Sheet1!B47,"AAAAAHf2eV8=")</f>
        <v>#VALUE!</v>
      </c>
      <c r="CS6" t="e">
        <f>AND(Sheet1!C47,"AAAAAHf2eWA=")</f>
        <v>#VALUE!</v>
      </c>
      <c r="CT6" t="e">
        <f>AND(Sheet1!D47,"AAAAAHf2eWE=")</f>
        <v>#VALUE!</v>
      </c>
      <c r="CU6" t="e">
        <f>AND(Sheet1!E47,"AAAAAHf2eWI=")</f>
        <v>#VALUE!</v>
      </c>
      <c r="CV6" t="e">
        <f>AND(Sheet1!F47,"AAAAAHf2eWM=")</f>
        <v>#VALUE!</v>
      </c>
      <c r="CW6" t="e">
        <f>AND(Sheet1!G47,"AAAAAHf2eWQ=")</f>
        <v>#VALUE!</v>
      </c>
      <c r="CX6" t="e">
        <f>AND(Sheet1!H47,"AAAAAHf2eWU=")</f>
        <v>#VALUE!</v>
      </c>
      <c r="CY6" t="e">
        <f>AND(Sheet1!I47,"AAAAAHf2eWY=")</f>
        <v>#VALUE!</v>
      </c>
      <c r="CZ6" t="e">
        <f>AND(Sheet1!J47,"AAAAAHf2eWc=")</f>
        <v>#VALUE!</v>
      </c>
      <c r="DA6" t="e">
        <f>AND(Sheet1!K47,"AAAAAHf2eWg=")</f>
        <v>#VALUE!</v>
      </c>
      <c r="DB6" t="e">
        <f>AND(Sheet1!L47,"AAAAAHf2eWk=")</f>
        <v>#VALUE!</v>
      </c>
      <c r="DC6" t="e">
        <f>AND(Sheet1!M47,"AAAAAHf2eWo=")</f>
        <v>#VALUE!</v>
      </c>
      <c r="DD6" t="e">
        <f>AND(Sheet1!N47,"AAAAAHf2eWs=")</f>
        <v>#VALUE!</v>
      </c>
      <c r="DE6" t="e">
        <f>AND(Sheet1!O47,"AAAAAHf2eWw=")</f>
        <v>#VALUE!</v>
      </c>
      <c r="DF6" t="e">
        <f>AND(Sheet1!P47,"AAAAAHf2eW0=")</f>
        <v>#VALUE!</v>
      </c>
      <c r="DG6" t="e">
        <f>AND(Sheet1!Q47,"AAAAAHf2eW4=")</f>
        <v>#VALUE!</v>
      </c>
      <c r="DH6" t="e">
        <f>AND(Sheet1!R47,"AAAAAHf2eW8=")</f>
        <v>#VALUE!</v>
      </c>
      <c r="DI6" t="e">
        <f>AND(Sheet1!S47,"AAAAAHf2eXA=")</f>
        <v>#VALUE!</v>
      </c>
      <c r="DJ6" t="e">
        <f>AND(Sheet1!T47,"AAAAAHf2eXE=")</f>
        <v>#VALUE!</v>
      </c>
      <c r="DK6" t="e">
        <f>AND(Sheet1!U47,"AAAAAHf2eXI=")</f>
        <v>#VALUE!</v>
      </c>
      <c r="DL6" t="e">
        <f>AND(Sheet1!V47,"AAAAAHf2eXM=")</f>
        <v>#VALUE!</v>
      </c>
      <c r="DM6" t="e">
        <f>AND(Sheet1!W47,"AAAAAHf2eXQ=")</f>
        <v>#VALUE!</v>
      </c>
      <c r="DN6" t="e">
        <f>AND(Sheet1!X47,"AAAAAHf2eXU=")</f>
        <v>#VALUE!</v>
      </c>
      <c r="DO6" t="e">
        <f>AND(Sheet1!Y47,"AAAAAHf2eXY=")</f>
        <v>#VALUE!</v>
      </c>
      <c r="DP6" t="e">
        <f>AND(Sheet1!Z47,"AAAAAHf2eXc=")</f>
        <v>#VALUE!</v>
      </c>
      <c r="DQ6" t="e">
        <f>AND(Sheet1!AA47,"AAAAAHf2eXg=")</f>
        <v>#VALUE!</v>
      </c>
      <c r="DR6" t="e">
        <f>AND(Sheet1!AB47,"AAAAAHf2eXk=")</f>
        <v>#VALUE!</v>
      </c>
      <c r="DS6">
        <f>IF(Sheet1!48:48,"AAAAAHf2eXo=",0)</f>
        <v>0</v>
      </c>
      <c r="DT6" t="e">
        <f>AND(Sheet1!A48,"AAAAAHf2eXs=")</f>
        <v>#VALUE!</v>
      </c>
      <c r="DU6" t="e">
        <f>AND(Sheet1!B48,"AAAAAHf2eXw=")</f>
        <v>#VALUE!</v>
      </c>
      <c r="DV6" t="e">
        <f>AND(Sheet1!C48,"AAAAAHf2eX0=")</f>
        <v>#VALUE!</v>
      </c>
      <c r="DW6" t="e">
        <f>AND(Sheet1!D48,"AAAAAHf2eX4=")</f>
        <v>#VALUE!</v>
      </c>
      <c r="DX6" t="e">
        <f>AND(Sheet1!E48,"AAAAAHf2eX8=")</f>
        <v>#VALUE!</v>
      </c>
      <c r="DY6" t="e">
        <f>AND(Sheet1!F48,"AAAAAHf2eYA=")</f>
        <v>#VALUE!</v>
      </c>
      <c r="DZ6" t="e">
        <f>AND(Sheet1!G48,"AAAAAHf2eYE=")</f>
        <v>#VALUE!</v>
      </c>
      <c r="EA6" t="e">
        <f>AND(Sheet1!H48,"AAAAAHf2eYI=")</f>
        <v>#VALUE!</v>
      </c>
      <c r="EB6" t="e">
        <f>AND(Sheet1!I48,"AAAAAHf2eYM=")</f>
        <v>#VALUE!</v>
      </c>
      <c r="EC6" t="e">
        <f>AND(Sheet1!J48,"AAAAAHf2eYQ=")</f>
        <v>#VALUE!</v>
      </c>
      <c r="ED6" t="e">
        <f>AND(Sheet1!K48,"AAAAAHf2eYU=")</f>
        <v>#VALUE!</v>
      </c>
      <c r="EE6" t="e">
        <f>AND(Sheet1!L48,"AAAAAHf2eYY=")</f>
        <v>#VALUE!</v>
      </c>
      <c r="EF6" t="e">
        <f>AND(Sheet1!M48,"AAAAAHf2eYc=")</f>
        <v>#VALUE!</v>
      </c>
      <c r="EG6" t="e">
        <f>AND(Sheet1!N48,"AAAAAHf2eYg=")</f>
        <v>#VALUE!</v>
      </c>
      <c r="EH6" t="e">
        <f>AND(Sheet1!O48,"AAAAAHf2eYk=")</f>
        <v>#VALUE!</v>
      </c>
      <c r="EI6" t="e">
        <f>AND(Sheet1!P48,"AAAAAHf2eYo=")</f>
        <v>#VALUE!</v>
      </c>
      <c r="EJ6" t="e">
        <f>AND(Sheet1!Q48,"AAAAAHf2eYs=")</f>
        <v>#VALUE!</v>
      </c>
      <c r="EK6" t="e">
        <f>AND(Sheet1!R48,"AAAAAHf2eYw=")</f>
        <v>#VALUE!</v>
      </c>
      <c r="EL6" t="e">
        <f>AND(Sheet1!S48,"AAAAAHf2eY0=")</f>
        <v>#VALUE!</v>
      </c>
      <c r="EM6" t="e">
        <f>AND(Sheet1!T48,"AAAAAHf2eY4=")</f>
        <v>#VALUE!</v>
      </c>
      <c r="EN6" t="e">
        <f>AND(Sheet1!U48,"AAAAAHf2eY8=")</f>
        <v>#VALUE!</v>
      </c>
      <c r="EO6" t="e">
        <f>AND(Sheet1!V48,"AAAAAHf2eZA=")</f>
        <v>#VALUE!</v>
      </c>
      <c r="EP6" t="e">
        <f>AND(Sheet1!W48,"AAAAAHf2eZE=")</f>
        <v>#VALUE!</v>
      </c>
      <c r="EQ6" t="e">
        <f>AND(Sheet1!X48,"AAAAAHf2eZI=")</f>
        <v>#VALUE!</v>
      </c>
      <c r="ER6" t="e">
        <f>AND(Sheet1!Y48,"AAAAAHf2eZM=")</f>
        <v>#VALUE!</v>
      </c>
      <c r="ES6" t="e">
        <f>AND(Sheet1!Z48,"AAAAAHf2eZQ=")</f>
        <v>#VALUE!</v>
      </c>
      <c r="ET6" t="e">
        <f>AND(Sheet1!AA48,"AAAAAHf2eZU=")</f>
        <v>#VALUE!</v>
      </c>
      <c r="EU6" t="e">
        <f>AND(Sheet1!AB48,"AAAAAHf2eZY=")</f>
        <v>#VALUE!</v>
      </c>
      <c r="EV6">
        <f>IF(Sheet1!49:49,"AAAAAHf2eZc=",0)</f>
        <v>0</v>
      </c>
      <c r="EW6" t="e">
        <f>AND(Sheet1!A49,"AAAAAHf2eZg=")</f>
        <v>#VALUE!</v>
      </c>
      <c r="EX6" t="e">
        <f>AND(Sheet1!B49,"AAAAAHf2eZk=")</f>
        <v>#VALUE!</v>
      </c>
      <c r="EY6" t="e">
        <f>AND(Sheet1!C49,"AAAAAHf2eZo=")</f>
        <v>#VALUE!</v>
      </c>
      <c r="EZ6" t="e">
        <f>AND(Sheet1!D49,"AAAAAHf2eZs=")</f>
        <v>#VALUE!</v>
      </c>
      <c r="FA6" t="e">
        <f>AND(Sheet1!E49,"AAAAAHf2eZw=")</f>
        <v>#VALUE!</v>
      </c>
      <c r="FB6" t="e">
        <f>AND(Sheet1!F49,"AAAAAHf2eZ0=")</f>
        <v>#VALUE!</v>
      </c>
      <c r="FC6" t="e">
        <f>AND(Sheet1!G49,"AAAAAHf2eZ4=")</f>
        <v>#VALUE!</v>
      </c>
      <c r="FD6" t="e">
        <f>AND(Sheet1!H49,"AAAAAHf2eZ8=")</f>
        <v>#VALUE!</v>
      </c>
      <c r="FE6" t="e">
        <f>AND(Sheet1!I49,"AAAAAHf2eaA=")</f>
        <v>#VALUE!</v>
      </c>
      <c r="FF6" t="e">
        <f>AND(Sheet1!J49,"AAAAAHf2eaE=")</f>
        <v>#VALUE!</v>
      </c>
      <c r="FG6" t="e">
        <f>AND(Sheet1!K49,"AAAAAHf2eaI=")</f>
        <v>#VALUE!</v>
      </c>
      <c r="FH6" t="e">
        <f>AND(Sheet1!L49,"AAAAAHf2eaM=")</f>
        <v>#VALUE!</v>
      </c>
      <c r="FI6" t="e">
        <f>AND(Sheet1!M49,"AAAAAHf2eaQ=")</f>
        <v>#VALUE!</v>
      </c>
      <c r="FJ6" t="e">
        <f>AND(Sheet1!N49,"AAAAAHf2eaU=")</f>
        <v>#VALUE!</v>
      </c>
      <c r="FK6" t="e">
        <f>AND(Sheet1!O49,"AAAAAHf2eaY=")</f>
        <v>#VALUE!</v>
      </c>
      <c r="FL6" t="e">
        <f>AND(Sheet1!P49,"AAAAAHf2eac=")</f>
        <v>#VALUE!</v>
      </c>
      <c r="FM6" t="e">
        <f>AND(Sheet1!Q49,"AAAAAHf2eag=")</f>
        <v>#VALUE!</v>
      </c>
      <c r="FN6" t="e">
        <f>AND(Sheet1!R49,"AAAAAHf2eak=")</f>
        <v>#VALUE!</v>
      </c>
      <c r="FO6" t="e">
        <f>AND(Sheet1!S49,"AAAAAHf2eao=")</f>
        <v>#VALUE!</v>
      </c>
      <c r="FP6" t="e">
        <f>AND(Sheet1!T49,"AAAAAHf2eas=")</f>
        <v>#VALUE!</v>
      </c>
      <c r="FQ6" t="e">
        <f>AND(Sheet1!U49,"AAAAAHf2eaw=")</f>
        <v>#VALUE!</v>
      </c>
      <c r="FR6" t="e">
        <f>AND(Sheet1!V49,"AAAAAHf2ea0=")</f>
        <v>#VALUE!</v>
      </c>
      <c r="FS6" t="e">
        <f>AND(Sheet1!W49,"AAAAAHf2ea4=")</f>
        <v>#VALUE!</v>
      </c>
      <c r="FT6" t="e">
        <f>AND(Sheet1!X49,"AAAAAHf2ea8=")</f>
        <v>#VALUE!</v>
      </c>
      <c r="FU6" t="e">
        <f>AND(Sheet1!Y49,"AAAAAHf2ebA=")</f>
        <v>#VALUE!</v>
      </c>
      <c r="FV6" t="e">
        <f>AND(Sheet1!Z49,"AAAAAHf2ebE=")</f>
        <v>#VALUE!</v>
      </c>
      <c r="FW6" t="e">
        <f>AND(Sheet1!AA49,"AAAAAHf2ebI=")</f>
        <v>#VALUE!</v>
      </c>
      <c r="FX6" t="e">
        <f>AND(Sheet1!AB49,"AAAAAHf2ebM=")</f>
        <v>#VALUE!</v>
      </c>
      <c r="FY6">
        <f>IF(Sheet1!50:50,"AAAAAHf2ebQ=",0)</f>
        <v>0</v>
      </c>
      <c r="FZ6" t="e">
        <f>AND(Sheet1!A50,"AAAAAHf2ebU=")</f>
        <v>#VALUE!</v>
      </c>
      <c r="GA6" t="e">
        <f>AND(Sheet1!B50,"AAAAAHf2ebY=")</f>
        <v>#VALUE!</v>
      </c>
      <c r="GB6" t="e">
        <f>AND(Sheet1!C50,"AAAAAHf2ebc=")</f>
        <v>#VALUE!</v>
      </c>
      <c r="GC6" t="e">
        <f>AND(Sheet1!D50,"AAAAAHf2ebg=")</f>
        <v>#VALUE!</v>
      </c>
      <c r="GD6" t="e">
        <f>AND(Sheet1!E50,"AAAAAHf2ebk=")</f>
        <v>#VALUE!</v>
      </c>
      <c r="GE6" t="e">
        <f>AND(Sheet1!F50,"AAAAAHf2ebo=")</f>
        <v>#VALUE!</v>
      </c>
      <c r="GF6" t="e">
        <f>AND(Sheet1!G50,"AAAAAHf2ebs=")</f>
        <v>#VALUE!</v>
      </c>
      <c r="GG6" t="e">
        <f>AND(Sheet1!H50,"AAAAAHf2ebw=")</f>
        <v>#VALUE!</v>
      </c>
      <c r="GH6" t="e">
        <f>AND(Sheet1!I50,"AAAAAHf2eb0=")</f>
        <v>#VALUE!</v>
      </c>
      <c r="GI6" t="e">
        <f>AND(Sheet1!J50,"AAAAAHf2eb4=")</f>
        <v>#VALUE!</v>
      </c>
      <c r="GJ6" t="e">
        <f>AND(Sheet1!K50,"AAAAAHf2eb8=")</f>
        <v>#VALUE!</v>
      </c>
      <c r="GK6" t="e">
        <f>AND(Sheet1!L50,"AAAAAHf2ecA=")</f>
        <v>#VALUE!</v>
      </c>
      <c r="GL6" t="e">
        <f>AND(Sheet1!M50,"AAAAAHf2ecE=")</f>
        <v>#VALUE!</v>
      </c>
      <c r="GM6" t="e">
        <f>AND(Sheet1!N50,"AAAAAHf2ecI=")</f>
        <v>#VALUE!</v>
      </c>
      <c r="GN6" t="e">
        <f>AND(Sheet1!O50,"AAAAAHf2ecM=")</f>
        <v>#VALUE!</v>
      </c>
      <c r="GO6" t="e">
        <f>AND(Sheet1!P50,"AAAAAHf2ecQ=")</f>
        <v>#VALUE!</v>
      </c>
      <c r="GP6" t="e">
        <f>AND(Sheet1!Q50,"AAAAAHf2ecU=")</f>
        <v>#VALUE!</v>
      </c>
      <c r="GQ6" t="e">
        <f>AND(Sheet1!R50,"AAAAAHf2ecY=")</f>
        <v>#VALUE!</v>
      </c>
      <c r="GR6" t="e">
        <f>AND(Sheet1!S50,"AAAAAHf2ecc=")</f>
        <v>#VALUE!</v>
      </c>
      <c r="GS6" t="e">
        <f>AND(Sheet1!T50,"AAAAAHf2ecg=")</f>
        <v>#VALUE!</v>
      </c>
      <c r="GT6" t="e">
        <f>AND(Sheet1!U50,"AAAAAHf2eck=")</f>
        <v>#VALUE!</v>
      </c>
      <c r="GU6" t="e">
        <f>AND(Sheet1!V50,"AAAAAHf2eco=")</f>
        <v>#VALUE!</v>
      </c>
      <c r="GV6" t="e">
        <f>AND(Sheet1!W50,"AAAAAHf2ecs=")</f>
        <v>#VALUE!</v>
      </c>
      <c r="GW6" t="e">
        <f>AND(Sheet1!X50,"AAAAAHf2ecw=")</f>
        <v>#VALUE!</v>
      </c>
      <c r="GX6" t="e">
        <f>AND(Sheet1!Y50,"AAAAAHf2ec0=")</f>
        <v>#VALUE!</v>
      </c>
      <c r="GY6" t="e">
        <f>AND(Sheet1!Z50,"AAAAAHf2ec4=")</f>
        <v>#VALUE!</v>
      </c>
      <c r="GZ6" t="e">
        <f>AND(Sheet1!AA50,"AAAAAHf2ec8=")</f>
        <v>#VALUE!</v>
      </c>
      <c r="HA6" t="e">
        <f>AND(Sheet1!AB50,"AAAAAHf2edA=")</f>
        <v>#VALUE!</v>
      </c>
      <c r="HB6">
        <f>IF(Sheet1!51:51,"AAAAAHf2edE=",0)</f>
        <v>0</v>
      </c>
      <c r="HC6" t="e">
        <f>AND(Sheet1!A51,"AAAAAHf2edI=")</f>
        <v>#VALUE!</v>
      </c>
      <c r="HD6" t="e">
        <f>AND(Sheet1!B51,"AAAAAHf2edM=")</f>
        <v>#VALUE!</v>
      </c>
      <c r="HE6" t="e">
        <f>AND(Sheet1!C51,"AAAAAHf2edQ=")</f>
        <v>#VALUE!</v>
      </c>
      <c r="HF6" t="e">
        <f>AND(Sheet1!D51,"AAAAAHf2edU=")</f>
        <v>#VALUE!</v>
      </c>
      <c r="HG6" t="e">
        <f>AND(Sheet1!E51,"AAAAAHf2edY=")</f>
        <v>#VALUE!</v>
      </c>
      <c r="HH6" t="e">
        <f>AND(Sheet1!F51,"AAAAAHf2edc=")</f>
        <v>#VALUE!</v>
      </c>
      <c r="HI6" t="e">
        <f>AND(Sheet1!G51,"AAAAAHf2edg=")</f>
        <v>#VALUE!</v>
      </c>
      <c r="HJ6" t="e">
        <f>AND(Sheet1!H51,"AAAAAHf2edk=")</f>
        <v>#VALUE!</v>
      </c>
      <c r="HK6" t="e">
        <f>AND(Sheet1!I51,"AAAAAHf2edo=")</f>
        <v>#VALUE!</v>
      </c>
      <c r="HL6" t="e">
        <f>AND(Sheet1!J51,"AAAAAHf2eds=")</f>
        <v>#VALUE!</v>
      </c>
      <c r="HM6" t="e">
        <f>AND(Sheet1!K51,"AAAAAHf2edw=")</f>
        <v>#VALUE!</v>
      </c>
      <c r="HN6" t="e">
        <f>AND(Sheet1!L51,"AAAAAHf2ed0=")</f>
        <v>#VALUE!</v>
      </c>
      <c r="HO6" t="e">
        <f>AND(Sheet1!M51,"AAAAAHf2ed4=")</f>
        <v>#VALUE!</v>
      </c>
      <c r="HP6" t="e">
        <f>AND(Sheet1!N51,"AAAAAHf2ed8=")</f>
        <v>#VALUE!</v>
      </c>
      <c r="HQ6" t="e">
        <f>AND(Sheet1!O51,"AAAAAHf2eeA=")</f>
        <v>#VALUE!</v>
      </c>
      <c r="HR6" t="e">
        <f>AND(Sheet1!P51,"AAAAAHf2eeE=")</f>
        <v>#VALUE!</v>
      </c>
      <c r="HS6" t="e">
        <f>AND(Sheet1!Q51,"AAAAAHf2eeI=")</f>
        <v>#VALUE!</v>
      </c>
      <c r="HT6" t="e">
        <f>AND(Sheet1!R51,"AAAAAHf2eeM=")</f>
        <v>#VALUE!</v>
      </c>
      <c r="HU6" t="e">
        <f>AND(Sheet1!S51,"AAAAAHf2eeQ=")</f>
        <v>#VALUE!</v>
      </c>
      <c r="HV6" t="e">
        <f>AND(Sheet1!T51,"AAAAAHf2eeU=")</f>
        <v>#VALUE!</v>
      </c>
      <c r="HW6" t="e">
        <f>AND(Sheet1!U51,"AAAAAHf2eeY=")</f>
        <v>#VALUE!</v>
      </c>
      <c r="HX6" t="e">
        <f>AND(Sheet1!V51,"AAAAAHf2eec=")</f>
        <v>#VALUE!</v>
      </c>
      <c r="HY6" t="e">
        <f>AND(Sheet1!W51,"AAAAAHf2eeg=")</f>
        <v>#VALUE!</v>
      </c>
      <c r="HZ6" t="e">
        <f>AND(Sheet1!X51,"AAAAAHf2eek=")</f>
        <v>#VALUE!</v>
      </c>
      <c r="IA6" t="e">
        <f>AND(Sheet1!Y51,"AAAAAHf2eeo=")</f>
        <v>#VALUE!</v>
      </c>
      <c r="IB6" t="e">
        <f>AND(Sheet1!Z51,"AAAAAHf2ees=")</f>
        <v>#VALUE!</v>
      </c>
      <c r="IC6" t="e">
        <f>AND(Sheet1!AA51,"AAAAAHf2eew=")</f>
        <v>#VALUE!</v>
      </c>
      <c r="ID6" t="e">
        <f>AND(Sheet1!AB51,"AAAAAHf2ee0=")</f>
        <v>#VALUE!</v>
      </c>
      <c r="IE6">
        <f>IF(Sheet1!52:52,"AAAAAHf2ee4=",0)</f>
        <v>0</v>
      </c>
      <c r="IF6" t="e">
        <f>AND(Sheet1!A52,"AAAAAHf2ee8=")</f>
        <v>#VALUE!</v>
      </c>
      <c r="IG6" t="e">
        <f>AND(Sheet1!B52,"AAAAAHf2efA=")</f>
        <v>#VALUE!</v>
      </c>
      <c r="IH6" t="e">
        <f>AND(Sheet1!C52,"AAAAAHf2efE=")</f>
        <v>#VALUE!</v>
      </c>
      <c r="II6" t="e">
        <f>AND(Sheet1!D52,"AAAAAHf2efI=")</f>
        <v>#VALUE!</v>
      </c>
      <c r="IJ6" t="e">
        <f>AND(Sheet1!E52,"AAAAAHf2efM=")</f>
        <v>#VALUE!</v>
      </c>
      <c r="IK6" t="e">
        <f>AND(Sheet1!F52,"AAAAAHf2efQ=")</f>
        <v>#VALUE!</v>
      </c>
      <c r="IL6" t="e">
        <f>AND(Sheet1!G52,"AAAAAHf2efU=")</f>
        <v>#VALUE!</v>
      </c>
      <c r="IM6" t="e">
        <f>AND(Sheet1!H52,"AAAAAHf2efY=")</f>
        <v>#VALUE!</v>
      </c>
      <c r="IN6" t="e">
        <f>AND(Sheet1!I52,"AAAAAHf2efc=")</f>
        <v>#VALUE!</v>
      </c>
      <c r="IO6" t="e">
        <f>AND(Sheet1!J52,"AAAAAHf2efg=")</f>
        <v>#VALUE!</v>
      </c>
      <c r="IP6" t="e">
        <f>AND(Sheet1!K52,"AAAAAHf2efk=")</f>
        <v>#VALUE!</v>
      </c>
      <c r="IQ6" t="e">
        <f>AND(Sheet1!L52,"AAAAAHf2efo=")</f>
        <v>#VALUE!</v>
      </c>
      <c r="IR6" t="e">
        <f>AND(Sheet1!M52,"AAAAAHf2efs=")</f>
        <v>#VALUE!</v>
      </c>
      <c r="IS6" t="e">
        <f>AND(Sheet1!N52,"AAAAAHf2efw=")</f>
        <v>#VALUE!</v>
      </c>
      <c r="IT6" t="e">
        <f>AND(Sheet1!O52,"AAAAAHf2ef0=")</f>
        <v>#VALUE!</v>
      </c>
      <c r="IU6" t="e">
        <f>AND(Sheet1!P52,"AAAAAHf2ef4=")</f>
        <v>#VALUE!</v>
      </c>
      <c r="IV6" t="e">
        <f>AND(Sheet1!Q52,"AAAAAHf2ef8=")</f>
        <v>#VALUE!</v>
      </c>
    </row>
    <row r="7" spans="1:256" ht="12.75">
      <c r="A7" t="e">
        <f>AND(Sheet1!R52,"AAAAAHefAAA=")</f>
        <v>#VALUE!</v>
      </c>
      <c r="B7" t="e">
        <f>AND(Sheet1!S52,"AAAAAHefAAE=")</f>
        <v>#VALUE!</v>
      </c>
      <c r="C7" t="e">
        <f>AND(Sheet1!T52,"AAAAAHefAAI=")</f>
        <v>#VALUE!</v>
      </c>
      <c r="D7" t="e">
        <f>AND(Sheet1!U52,"AAAAAHefAAM=")</f>
        <v>#VALUE!</v>
      </c>
      <c r="E7" t="e">
        <f>AND(Sheet1!V52,"AAAAAHefAAQ=")</f>
        <v>#VALUE!</v>
      </c>
      <c r="F7" t="e">
        <f>AND(Sheet1!W52,"AAAAAHefAAU=")</f>
        <v>#VALUE!</v>
      </c>
      <c r="G7" t="e">
        <f>AND(Sheet1!X52,"AAAAAHefAAY=")</f>
        <v>#VALUE!</v>
      </c>
      <c r="H7" t="e">
        <f>AND(Sheet1!Y52,"AAAAAHefAAc=")</f>
        <v>#VALUE!</v>
      </c>
      <c r="I7" t="e">
        <f>AND(Sheet1!Z52,"AAAAAHefAAg=")</f>
        <v>#VALUE!</v>
      </c>
      <c r="J7" t="e">
        <f>AND(Sheet1!AA52,"AAAAAHefAAk=")</f>
        <v>#VALUE!</v>
      </c>
      <c r="K7" t="e">
        <f>AND(Sheet1!AB52,"AAAAAHefAAo=")</f>
        <v>#VALUE!</v>
      </c>
      <c r="L7">
        <f>IF(Sheet1!53:53,"AAAAAHefAAs=",0)</f>
        <v>0</v>
      </c>
      <c r="M7" t="e">
        <f>AND(Sheet1!A53,"AAAAAHefAAw=")</f>
        <v>#VALUE!</v>
      </c>
      <c r="N7" t="e">
        <f>AND(Sheet1!B53,"AAAAAHefAA0=")</f>
        <v>#VALUE!</v>
      </c>
      <c r="O7" t="e">
        <f>AND(Sheet1!C53,"AAAAAHefAA4=")</f>
        <v>#VALUE!</v>
      </c>
      <c r="P7" t="e">
        <f>AND(Sheet1!D53,"AAAAAHefAA8=")</f>
        <v>#VALUE!</v>
      </c>
      <c r="Q7" t="e">
        <f>AND(Sheet1!E53,"AAAAAHefABA=")</f>
        <v>#VALUE!</v>
      </c>
      <c r="R7" t="e">
        <f>AND(Sheet1!F53,"AAAAAHefABE=")</f>
        <v>#VALUE!</v>
      </c>
      <c r="S7" t="e">
        <f>AND(Sheet1!G53,"AAAAAHefABI=")</f>
        <v>#VALUE!</v>
      </c>
      <c r="T7" t="e">
        <f>AND(Sheet1!H53,"AAAAAHefABM=")</f>
        <v>#VALUE!</v>
      </c>
      <c r="U7" t="e">
        <f>AND(Sheet1!I53,"AAAAAHefABQ=")</f>
        <v>#VALUE!</v>
      </c>
      <c r="V7" t="e">
        <f>AND(Sheet1!J53,"AAAAAHefABU=")</f>
        <v>#VALUE!</v>
      </c>
      <c r="W7" t="e">
        <f>AND(Sheet1!K53,"AAAAAHefABY=")</f>
        <v>#VALUE!</v>
      </c>
      <c r="X7" t="e">
        <f>AND(Sheet1!L53,"AAAAAHefABc=")</f>
        <v>#VALUE!</v>
      </c>
      <c r="Y7" t="e">
        <f>AND(Sheet1!M53,"AAAAAHefABg=")</f>
        <v>#VALUE!</v>
      </c>
      <c r="Z7" t="e">
        <f>AND(Sheet1!N53,"AAAAAHefABk=")</f>
        <v>#VALUE!</v>
      </c>
      <c r="AA7" t="e">
        <f>AND(Sheet1!O53,"AAAAAHefABo=")</f>
        <v>#VALUE!</v>
      </c>
      <c r="AB7" t="e">
        <f>AND(Sheet1!P53,"AAAAAHefABs=")</f>
        <v>#VALUE!</v>
      </c>
      <c r="AC7" t="e">
        <f>AND(Sheet1!Q53,"AAAAAHefABw=")</f>
        <v>#VALUE!</v>
      </c>
      <c r="AD7" t="e">
        <f>AND(Sheet1!R53,"AAAAAHefAB0=")</f>
        <v>#VALUE!</v>
      </c>
      <c r="AE7" t="e">
        <f>AND(Sheet1!S53,"AAAAAHefAB4=")</f>
        <v>#VALUE!</v>
      </c>
      <c r="AF7" t="e">
        <f>AND(Sheet1!T53,"AAAAAHefAB8=")</f>
        <v>#VALUE!</v>
      </c>
      <c r="AG7" t="e">
        <f>AND(Sheet1!U53,"AAAAAHefACA=")</f>
        <v>#VALUE!</v>
      </c>
      <c r="AH7" t="e">
        <f>AND(Sheet1!V53,"AAAAAHefACE=")</f>
        <v>#VALUE!</v>
      </c>
      <c r="AI7" t="e">
        <f>AND(Sheet1!W53,"AAAAAHefACI=")</f>
        <v>#VALUE!</v>
      </c>
      <c r="AJ7" t="e">
        <f>AND(Sheet1!X53,"AAAAAHefACM=")</f>
        <v>#VALUE!</v>
      </c>
      <c r="AK7" t="e">
        <f>AND(Sheet1!Y53,"AAAAAHefACQ=")</f>
        <v>#VALUE!</v>
      </c>
      <c r="AL7" t="e">
        <f>AND(Sheet1!Z53,"AAAAAHefACU=")</f>
        <v>#VALUE!</v>
      </c>
      <c r="AM7" t="e">
        <f>AND(Sheet1!AA53,"AAAAAHefACY=")</f>
        <v>#VALUE!</v>
      </c>
      <c r="AN7" t="e">
        <f>AND(Sheet1!AB53,"AAAAAHefACc=")</f>
        <v>#VALUE!</v>
      </c>
      <c r="AO7">
        <f>IF(Sheet1!54:54,"AAAAAHefACg=",0)</f>
        <v>0</v>
      </c>
      <c r="AP7" t="e">
        <f>AND(Sheet1!A54,"AAAAAHefACk=")</f>
        <v>#VALUE!</v>
      </c>
      <c r="AQ7" t="e">
        <f>AND(Sheet1!B54,"AAAAAHefACo=")</f>
        <v>#VALUE!</v>
      </c>
      <c r="AR7" t="e">
        <f>AND(Sheet1!C54,"AAAAAHefACs=")</f>
        <v>#VALUE!</v>
      </c>
      <c r="AS7" t="e">
        <f>AND(Sheet1!D54,"AAAAAHefACw=")</f>
        <v>#VALUE!</v>
      </c>
      <c r="AT7" t="e">
        <f>AND(Sheet1!E54,"AAAAAHefAC0=")</f>
        <v>#VALUE!</v>
      </c>
      <c r="AU7" t="e">
        <f>AND(Sheet1!F54,"AAAAAHefAC4=")</f>
        <v>#VALUE!</v>
      </c>
      <c r="AV7" t="e">
        <f>AND(Sheet1!G54,"AAAAAHefAC8=")</f>
        <v>#VALUE!</v>
      </c>
      <c r="AW7" t="e">
        <f>AND(Sheet1!H54,"AAAAAHefADA=")</f>
        <v>#VALUE!</v>
      </c>
      <c r="AX7" t="e">
        <f>AND(Sheet1!I54,"AAAAAHefADE=")</f>
        <v>#VALUE!</v>
      </c>
      <c r="AY7" t="e">
        <f>AND(Sheet1!J54,"AAAAAHefADI=")</f>
        <v>#VALUE!</v>
      </c>
      <c r="AZ7" t="e">
        <f>AND(Sheet1!K54,"AAAAAHefADM=")</f>
        <v>#VALUE!</v>
      </c>
      <c r="BA7" t="e">
        <f>AND(Sheet1!L54,"AAAAAHefADQ=")</f>
        <v>#VALUE!</v>
      </c>
      <c r="BB7" t="e">
        <f>AND(Sheet1!M54,"AAAAAHefADU=")</f>
        <v>#VALUE!</v>
      </c>
      <c r="BC7" t="e">
        <f>AND(Sheet1!N54,"AAAAAHefADY=")</f>
        <v>#VALUE!</v>
      </c>
      <c r="BD7" t="e">
        <f>AND(Sheet1!O54,"AAAAAHefADc=")</f>
        <v>#VALUE!</v>
      </c>
      <c r="BE7" t="e">
        <f>AND(Sheet1!P54,"AAAAAHefADg=")</f>
        <v>#VALUE!</v>
      </c>
      <c r="BF7" t="e">
        <f>AND(Sheet1!Q54,"AAAAAHefADk=")</f>
        <v>#VALUE!</v>
      </c>
      <c r="BG7" t="e">
        <f>AND(Sheet1!R54,"AAAAAHefADo=")</f>
        <v>#VALUE!</v>
      </c>
      <c r="BH7" t="e">
        <f>AND(Sheet1!S54,"AAAAAHefADs=")</f>
        <v>#VALUE!</v>
      </c>
      <c r="BI7" t="e">
        <f>AND(Sheet1!T54,"AAAAAHefADw=")</f>
        <v>#VALUE!</v>
      </c>
      <c r="BJ7" t="e">
        <f>AND(Sheet1!U54,"AAAAAHefAD0=")</f>
        <v>#VALUE!</v>
      </c>
      <c r="BK7" t="e">
        <f>AND(Sheet1!V54,"AAAAAHefAD4=")</f>
        <v>#VALUE!</v>
      </c>
      <c r="BL7" t="e">
        <f>AND(Sheet1!W54,"AAAAAHefAD8=")</f>
        <v>#VALUE!</v>
      </c>
      <c r="BM7" t="e">
        <f>AND(Sheet1!X54,"AAAAAHefAEA=")</f>
        <v>#VALUE!</v>
      </c>
      <c r="BN7" t="e">
        <f>AND(Sheet1!Y54,"AAAAAHefAEE=")</f>
        <v>#VALUE!</v>
      </c>
      <c r="BO7" t="e">
        <f>AND(Sheet1!Z54,"AAAAAHefAEI=")</f>
        <v>#VALUE!</v>
      </c>
      <c r="BP7" t="e">
        <f>AND(Sheet1!AA54,"AAAAAHefAEM=")</f>
        <v>#VALUE!</v>
      </c>
      <c r="BQ7" t="e">
        <f>AND(Sheet1!AB54,"AAAAAHefAEQ=")</f>
        <v>#VALUE!</v>
      </c>
      <c r="BR7">
        <f>IF(Sheet1!55:55,"AAAAAHefAEU=",0)</f>
        <v>0</v>
      </c>
      <c r="BS7" t="e">
        <f>AND(Sheet1!A55,"AAAAAHefAEY=")</f>
        <v>#VALUE!</v>
      </c>
      <c r="BT7" t="e">
        <f>AND(Sheet1!B55,"AAAAAHefAEc=")</f>
        <v>#VALUE!</v>
      </c>
      <c r="BU7" t="e">
        <f>AND(Sheet1!C55,"AAAAAHefAEg=")</f>
        <v>#VALUE!</v>
      </c>
      <c r="BV7" t="e">
        <f>AND(Sheet1!D55,"AAAAAHefAEk=")</f>
        <v>#VALUE!</v>
      </c>
      <c r="BW7" t="e">
        <f>AND(Sheet1!E55,"AAAAAHefAEo=")</f>
        <v>#VALUE!</v>
      </c>
      <c r="BX7" t="e">
        <f>AND(Sheet1!F55,"AAAAAHefAEs=")</f>
        <v>#VALUE!</v>
      </c>
      <c r="BY7" t="e">
        <f>AND(Sheet1!G55,"AAAAAHefAEw=")</f>
        <v>#VALUE!</v>
      </c>
      <c r="BZ7" t="e">
        <f>AND(Sheet1!H55,"AAAAAHefAE0=")</f>
        <v>#VALUE!</v>
      </c>
      <c r="CA7" t="e">
        <f>AND(Sheet1!I55,"AAAAAHefAE4=")</f>
        <v>#VALUE!</v>
      </c>
      <c r="CB7" t="e">
        <f>AND(Sheet1!J55,"AAAAAHefAE8=")</f>
        <v>#VALUE!</v>
      </c>
      <c r="CC7" t="e">
        <f>AND(Sheet1!K55,"AAAAAHefAFA=")</f>
        <v>#VALUE!</v>
      </c>
      <c r="CD7" t="e">
        <f>AND(Sheet1!L55,"AAAAAHefAFE=")</f>
        <v>#VALUE!</v>
      </c>
      <c r="CE7" t="e">
        <f>AND(Sheet1!M55,"AAAAAHefAFI=")</f>
        <v>#VALUE!</v>
      </c>
      <c r="CF7" t="e">
        <f>AND(Sheet1!N55,"AAAAAHefAFM=")</f>
        <v>#VALUE!</v>
      </c>
      <c r="CG7" t="e">
        <f>AND(Sheet1!O55,"AAAAAHefAFQ=")</f>
        <v>#VALUE!</v>
      </c>
      <c r="CH7" t="e">
        <f>AND(Sheet1!P55,"AAAAAHefAFU=")</f>
        <v>#VALUE!</v>
      </c>
      <c r="CI7" t="e">
        <f>AND(Sheet1!Q55,"AAAAAHefAFY=")</f>
        <v>#VALUE!</v>
      </c>
      <c r="CJ7" t="e">
        <f>AND(Sheet1!R55,"AAAAAHefAFc=")</f>
        <v>#VALUE!</v>
      </c>
      <c r="CK7" t="e">
        <f>AND(Sheet1!S55,"AAAAAHefAFg=")</f>
        <v>#VALUE!</v>
      </c>
      <c r="CL7" t="e">
        <f>AND(Sheet1!T55,"AAAAAHefAFk=")</f>
        <v>#VALUE!</v>
      </c>
      <c r="CM7" t="e">
        <f>AND(Sheet1!U55,"AAAAAHefAFo=")</f>
        <v>#VALUE!</v>
      </c>
      <c r="CN7" t="e">
        <f>AND(Sheet1!V55,"AAAAAHefAFs=")</f>
        <v>#VALUE!</v>
      </c>
      <c r="CO7" t="e">
        <f>AND(Sheet1!W55,"AAAAAHefAFw=")</f>
        <v>#VALUE!</v>
      </c>
      <c r="CP7" t="e">
        <f>AND(Sheet1!X55,"AAAAAHefAF0=")</f>
        <v>#VALUE!</v>
      </c>
      <c r="CQ7" t="e">
        <f>AND(Sheet1!Y55,"AAAAAHefAF4=")</f>
        <v>#VALUE!</v>
      </c>
      <c r="CR7" t="e">
        <f>AND(Sheet1!Z55,"AAAAAHefAF8=")</f>
        <v>#VALUE!</v>
      </c>
      <c r="CS7" t="e">
        <f>AND(Sheet1!AA55,"AAAAAHefAGA=")</f>
        <v>#VALUE!</v>
      </c>
      <c r="CT7" t="e">
        <f>AND(Sheet1!AB55,"AAAAAHefAGE=")</f>
        <v>#VALUE!</v>
      </c>
      <c r="CU7">
        <f>IF(Sheet1!56:56,"AAAAAHefAGI=",0)</f>
        <v>0</v>
      </c>
      <c r="CV7" t="e">
        <f>AND(Sheet1!A56,"AAAAAHefAGM=")</f>
        <v>#VALUE!</v>
      </c>
      <c r="CW7" t="e">
        <f>AND(Sheet1!B56,"AAAAAHefAGQ=")</f>
        <v>#VALUE!</v>
      </c>
      <c r="CX7" t="e">
        <f>AND(Sheet1!C56,"AAAAAHefAGU=")</f>
        <v>#VALUE!</v>
      </c>
      <c r="CY7" t="e">
        <f>AND(Sheet1!D56,"AAAAAHefAGY=")</f>
        <v>#VALUE!</v>
      </c>
      <c r="CZ7" t="e">
        <f>AND(Sheet1!E56,"AAAAAHefAGc=")</f>
        <v>#VALUE!</v>
      </c>
      <c r="DA7" t="e">
        <f>AND(Sheet1!F56,"AAAAAHefAGg=")</f>
        <v>#VALUE!</v>
      </c>
      <c r="DB7" t="e">
        <f>AND(Sheet1!G56,"AAAAAHefAGk=")</f>
        <v>#VALUE!</v>
      </c>
      <c r="DC7" t="e">
        <f>AND(Sheet1!H56,"AAAAAHefAGo=")</f>
        <v>#VALUE!</v>
      </c>
      <c r="DD7" t="e">
        <f>AND(Sheet1!I56,"AAAAAHefAGs=")</f>
        <v>#VALUE!</v>
      </c>
      <c r="DE7" t="e">
        <f>AND(Sheet1!J56,"AAAAAHefAGw=")</f>
        <v>#VALUE!</v>
      </c>
      <c r="DF7" t="e">
        <f>AND(Sheet1!K56,"AAAAAHefAG0=")</f>
        <v>#VALUE!</v>
      </c>
      <c r="DG7" t="e">
        <f>AND(Sheet1!L56,"AAAAAHefAG4=")</f>
        <v>#VALUE!</v>
      </c>
      <c r="DH7" t="e">
        <f>AND(Sheet1!M56,"AAAAAHefAG8=")</f>
        <v>#VALUE!</v>
      </c>
      <c r="DI7" t="e">
        <f>AND(Sheet1!N56,"AAAAAHefAHA=")</f>
        <v>#VALUE!</v>
      </c>
      <c r="DJ7" t="e">
        <f>AND(Sheet1!O56,"AAAAAHefAHE=")</f>
        <v>#VALUE!</v>
      </c>
      <c r="DK7" t="e">
        <f>AND(Sheet1!P56,"AAAAAHefAHI=")</f>
        <v>#VALUE!</v>
      </c>
      <c r="DL7" t="e">
        <f>AND(Sheet1!Q56,"AAAAAHefAHM=")</f>
        <v>#VALUE!</v>
      </c>
      <c r="DM7" t="e">
        <f>AND(Sheet1!R56,"AAAAAHefAHQ=")</f>
        <v>#VALUE!</v>
      </c>
      <c r="DN7" t="e">
        <f>AND(Sheet1!S56,"AAAAAHefAHU=")</f>
        <v>#VALUE!</v>
      </c>
      <c r="DO7" t="e">
        <f>AND(Sheet1!T56,"AAAAAHefAHY=")</f>
        <v>#VALUE!</v>
      </c>
      <c r="DP7" t="e">
        <f>AND(Sheet1!U56,"AAAAAHefAHc=")</f>
        <v>#VALUE!</v>
      </c>
      <c r="DQ7" t="e">
        <f>AND(Sheet1!V56,"AAAAAHefAHg=")</f>
        <v>#VALUE!</v>
      </c>
      <c r="DR7" t="e">
        <f>AND(Sheet1!W56,"AAAAAHefAHk=")</f>
        <v>#VALUE!</v>
      </c>
      <c r="DS7" t="e">
        <f>AND(Sheet1!X56,"AAAAAHefAHo=")</f>
        <v>#VALUE!</v>
      </c>
      <c r="DT7" t="e">
        <f>AND(Sheet1!Y56,"AAAAAHefAHs=")</f>
        <v>#VALUE!</v>
      </c>
      <c r="DU7" t="e">
        <f>AND(Sheet1!Z56,"AAAAAHefAHw=")</f>
        <v>#VALUE!</v>
      </c>
      <c r="DV7" t="e">
        <f>AND(Sheet1!AA56,"AAAAAHefAH0=")</f>
        <v>#VALUE!</v>
      </c>
      <c r="DW7" t="e">
        <f>AND(Sheet1!AB56,"AAAAAHefAH4=")</f>
        <v>#VALUE!</v>
      </c>
      <c r="DX7">
        <f>IF(Sheet1!57:57,"AAAAAHefAH8=",0)</f>
        <v>0</v>
      </c>
      <c r="DY7" t="e">
        <f>AND(Sheet1!A57,"AAAAAHefAIA=")</f>
        <v>#VALUE!</v>
      </c>
      <c r="DZ7" t="e">
        <f>AND(Sheet1!B57,"AAAAAHefAIE=")</f>
        <v>#VALUE!</v>
      </c>
      <c r="EA7" t="e">
        <f>AND(Sheet1!C57,"AAAAAHefAII=")</f>
        <v>#VALUE!</v>
      </c>
      <c r="EB7" t="e">
        <f>AND(Sheet1!D57,"AAAAAHefAIM=")</f>
        <v>#VALUE!</v>
      </c>
      <c r="EC7" t="e">
        <f>AND(Sheet1!E57,"AAAAAHefAIQ=")</f>
        <v>#VALUE!</v>
      </c>
      <c r="ED7" t="e">
        <f>AND(Sheet1!F57,"AAAAAHefAIU=")</f>
        <v>#VALUE!</v>
      </c>
      <c r="EE7" t="e">
        <f>AND(Sheet1!G57,"AAAAAHefAIY=")</f>
        <v>#VALUE!</v>
      </c>
      <c r="EF7" t="e">
        <f>AND(Sheet1!H57,"AAAAAHefAIc=")</f>
        <v>#VALUE!</v>
      </c>
      <c r="EG7" t="e">
        <f>AND(Sheet1!I57,"AAAAAHefAIg=")</f>
        <v>#VALUE!</v>
      </c>
      <c r="EH7" t="e">
        <f>AND(Sheet1!J57,"AAAAAHefAIk=")</f>
        <v>#VALUE!</v>
      </c>
      <c r="EI7" t="e">
        <f>AND(Sheet1!K57,"AAAAAHefAIo=")</f>
        <v>#VALUE!</v>
      </c>
      <c r="EJ7" t="e">
        <f>AND(Sheet1!L57,"AAAAAHefAIs=")</f>
        <v>#VALUE!</v>
      </c>
      <c r="EK7" t="e">
        <f>AND(Sheet1!M57,"AAAAAHefAIw=")</f>
        <v>#VALUE!</v>
      </c>
      <c r="EL7" t="e">
        <f>AND(Sheet1!N57,"AAAAAHefAI0=")</f>
        <v>#VALUE!</v>
      </c>
      <c r="EM7" t="e">
        <f>AND(Sheet1!O57,"AAAAAHefAI4=")</f>
        <v>#VALUE!</v>
      </c>
      <c r="EN7" t="e">
        <f>AND(Sheet1!P57,"AAAAAHefAI8=")</f>
        <v>#VALUE!</v>
      </c>
      <c r="EO7" t="e">
        <f>AND(Sheet1!Q57,"AAAAAHefAJA=")</f>
        <v>#VALUE!</v>
      </c>
      <c r="EP7" t="e">
        <f>AND(Sheet1!R57,"AAAAAHefAJE=")</f>
        <v>#VALUE!</v>
      </c>
      <c r="EQ7" t="e">
        <f>AND(Sheet1!S57,"AAAAAHefAJI=")</f>
        <v>#VALUE!</v>
      </c>
      <c r="ER7" t="e">
        <f>AND(Sheet1!T57,"AAAAAHefAJM=")</f>
        <v>#VALUE!</v>
      </c>
      <c r="ES7" t="e">
        <f>AND(Sheet1!U57,"AAAAAHefAJQ=")</f>
        <v>#VALUE!</v>
      </c>
      <c r="ET7" t="e">
        <f>AND(Sheet1!V57,"AAAAAHefAJU=")</f>
        <v>#VALUE!</v>
      </c>
      <c r="EU7" t="e">
        <f>AND(Sheet1!W57,"AAAAAHefAJY=")</f>
        <v>#VALUE!</v>
      </c>
      <c r="EV7" t="e">
        <f>AND(Sheet1!X57,"AAAAAHefAJc=")</f>
        <v>#VALUE!</v>
      </c>
      <c r="EW7" t="e">
        <f>AND(Sheet1!Y57,"AAAAAHefAJg=")</f>
        <v>#VALUE!</v>
      </c>
      <c r="EX7" t="e">
        <f>AND(Sheet1!Z57,"AAAAAHefAJk=")</f>
        <v>#VALUE!</v>
      </c>
      <c r="EY7" t="e">
        <f>AND(Sheet1!AA57,"AAAAAHefAJo=")</f>
        <v>#VALUE!</v>
      </c>
      <c r="EZ7" t="e">
        <f>AND(Sheet1!AB57,"AAAAAHefAJs=")</f>
        <v>#VALUE!</v>
      </c>
      <c r="FA7">
        <f>IF(Sheet1!58:58,"AAAAAHefAJw=",0)</f>
        <v>0</v>
      </c>
      <c r="FB7" t="e">
        <f>AND(Sheet1!A58,"AAAAAHefAJ0=")</f>
        <v>#VALUE!</v>
      </c>
      <c r="FC7" t="e">
        <f>AND(Sheet1!B58,"AAAAAHefAJ4=")</f>
        <v>#VALUE!</v>
      </c>
      <c r="FD7" t="e">
        <f>AND(Sheet1!C58,"AAAAAHefAJ8=")</f>
        <v>#VALUE!</v>
      </c>
      <c r="FE7" t="e">
        <f>AND(Sheet1!D58,"AAAAAHefAKA=")</f>
        <v>#VALUE!</v>
      </c>
      <c r="FF7" t="e">
        <f>AND(Sheet1!E58,"AAAAAHefAKE=")</f>
        <v>#VALUE!</v>
      </c>
      <c r="FG7" t="e">
        <f>AND(Sheet1!F58,"AAAAAHefAKI=")</f>
        <v>#VALUE!</v>
      </c>
      <c r="FH7" t="e">
        <f>AND(Sheet1!G58,"AAAAAHefAKM=")</f>
        <v>#VALUE!</v>
      </c>
      <c r="FI7" t="e">
        <f>AND(Sheet1!H58,"AAAAAHefAKQ=")</f>
        <v>#VALUE!</v>
      </c>
      <c r="FJ7" t="e">
        <f>AND(Sheet1!I58,"AAAAAHefAKU=")</f>
        <v>#VALUE!</v>
      </c>
      <c r="FK7" t="e">
        <f>AND(Sheet1!J58,"AAAAAHefAKY=")</f>
        <v>#VALUE!</v>
      </c>
      <c r="FL7" t="e">
        <f>AND(Sheet1!K58,"AAAAAHefAKc=")</f>
        <v>#VALUE!</v>
      </c>
      <c r="FM7" t="e">
        <f>AND(Sheet1!L58,"AAAAAHefAKg=")</f>
        <v>#VALUE!</v>
      </c>
      <c r="FN7" t="e">
        <f>AND(Sheet1!M58,"AAAAAHefAKk=")</f>
        <v>#VALUE!</v>
      </c>
      <c r="FO7" t="e">
        <f>AND(Sheet1!N58,"AAAAAHefAKo=")</f>
        <v>#VALUE!</v>
      </c>
      <c r="FP7" t="e">
        <f>AND(Sheet1!O58,"AAAAAHefAKs=")</f>
        <v>#VALUE!</v>
      </c>
      <c r="FQ7" t="e">
        <f>AND(Sheet1!P58,"AAAAAHefAKw=")</f>
        <v>#VALUE!</v>
      </c>
      <c r="FR7" t="e">
        <f>AND(Sheet1!Q58,"AAAAAHefAK0=")</f>
        <v>#VALUE!</v>
      </c>
      <c r="FS7" t="e">
        <f>AND(Sheet1!R58,"AAAAAHefAK4=")</f>
        <v>#VALUE!</v>
      </c>
      <c r="FT7" t="e">
        <f>AND(Sheet1!S58,"AAAAAHefAK8=")</f>
        <v>#VALUE!</v>
      </c>
      <c r="FU7" t="e">
        <f>AND(Sheet1!T58,"AAAAAHefALA=")</f>
        <v>#VALUE!</v>
      </c>
      <c r="FV7" t="e">
        <f>AND(Sheet1!U58,"AAAAAHefALE=")</f>
        <v>#VALUE!</v>
      </c>
      <c r="FW7" t="e">
        <f>AND(Sheet1!V58,"AAAAAHefALI=")</f>
        <v>#VALUE!</v>
      </c>
      <c r="FX7" t="e">
        <f>AND(Sheet1!W58,"AAAAAHefALM=")</f>
        <v>#VALUE!</v>
      </c>
      <c r="FY7" t="e">
        <f>AND(Sheet1!X58,"AAAAAHefALQ=")</f>
        <v>#VALUE!</v>
      </c>
      <c r="FZ7" t="e">
        <f>AND(Sheet1!Y58,"AAAAAHefALU=")</f>
        <v>#VALUE!</v>
      </c>
      <c r="GA7" t="e">
        <f>AND(Sheet1!Z58,"AAAAAHefALY=")</f>
        <v>#VALUE!</v>
      </c>
      <c r="GB7" t="e">
        <f>AND(Sheet1!AA58,"AAAAAHefALc=")</f>
        <v>#VALUE!</v>
      </c>
      <c r="GC7" t="e">
        <f>AND(Sheet1!AB58,"AAAAAHefALg=")</f>
        <v>#VALUE!</v>
      </c>
      <c r="GD7">
        <f>IF(Sheet1!59:59,"AAAAAHefALk=",0)</f>
        <v>0</v>
      </c>
      <c r="GE7" t="e">
        <f>AND(Sheet1!A59,"AAAAAHefALo=")</f>
        <v>#VALUE!</v>
      </c>
      <c r="GF7" t="e">
        <f>AND(Sheet1!B59,"AAAAAHefALs=")</f>
        <v>#VALUE!</v>
      </c>
      <c r="GG7" t="e">
        <f>AND(Sheet1!C59,"AAAAAHefALw=")</f>
        <v>#VALUE!</v>
      </c>
      <c r="GH7" t="e">
        <f>AND(Sheet1!D59,"AAAAAHefAL0=")</f>
        <v>#VALUE!</v>
      </c>
      <c r="GI7" t="e">
        <f>AND(Sheet1!E59,"AAAAAHefAL4=")</f>
        <v>#VALUE!</v>
      </c>
      <c r="GJ7" t="e">
        <f>AND(Sheet1!F59,"AAAAAHefAL8=")</f>
        <v>#VALUE!</v>
      </c>
      <c r="GK7" t="e">
        <f>AND(Sheet1!G59,"AAAAAHefAMA=")</f>
        <v>#VALUE!</v>
      </c>
      <c r="GL7" t="e">
        <f>AND(Sheet1!H59,"AAAAAHefAME=")</f>
        <v>#VALUE!</v>
      </c>
      <c r="GM7" t="e">
        <f>AND(Sheet1!I59,"AAAAAHefAMI=")</f>
        <v>#VALUE!</v>
      </c>
      <c r="GN7" t="e">
        <f>AND(Sheet1!J59,"AAAAAHefAMM=")</f>
        <v>#VALUE!</v>
      </c>
      <c r="GO7" t="e">
        <f>AND(Sheet1!K59,"AAAAAHefAMQ=")</f>
        <v>#VALUE!</v>
      </c>
      <c r="GP7" t="e">
        <f>AND(Sheet1!L59,"AAAAAHefAMU=")</f>
        <v>#VALUE!</v>
      </c>
      <c r="GQ7" t="e">
        <f>AND(Sheet1!M59,"AAAAAHefAMY=")</f>
        <v>#VALUE!</v>
      </c>
      <c r="GR7" t="e">
        <f>AND(Sheet1!N59,"AAAAAHefAMc=")</f>
        <v>#VALUE!</v>
      </c>
      <c r="GS7" t="e">
        <f>AND(Sheet1!O59,"AAAAAHefAMg=")</f>
        <v>#VALUE!</v>
      </c>
      <c r="GT7" t="e">
        <f>AND(Sheet1!P59,"AAAAAHefAMk=")</f>
        <v>#VALUE!</v>
      </c>
      <c r="GU7" t="e">
        <f>AND(Sheet1!Q59,"AAAAAHefAMo=")</f>
        <v>#VALUE!</v>
      </c>
      <c r="GV7" t="e">
        <f>AND(Sheet1!R59,"AAAAAHefAMs=")</f>
        <v>#VALUE!</v>
      </c>
      <c r="GW7" t="e">
        <f>AND(Sheet1!S59,"AAAAAHefAMw=")</f>
        <v>#VALUE!</v>
      </c>
      <c r="GX7" t="e">
        <f>AND(Sheet1!T59,"AAAAAHefAM0=")</f>
        <v>#VALUE!</v>
      </c>
      <c r="GY7" t="e">
        <f>AND(Sheet1!U59,"AAAAAHefAM4=")</f>
        <v>#VALUE!</v>
      </c>
      <c r="GZ7" t="e">
        <f>AND(Sheet1!V59,"AAAAAHefAM8=")</f>
        <v>#VALUE!</v>
      </c>
      <c r="HA7" t="e">
        <f>AND(Sheet1!W59,"AAAAAHefANA=")</f>
        <v>#VALUE!</v>
      </c>
      <c r="HB7" t="e">
        <f>AND(Sheet1!X59,"AAAAAHefANE=")</f>
        <v>#VALUE!</v>
      </c>
      <c r="HC7" t="e">
        <f>AND(Sheet1!Y59,"AAAAAHefANI=")</f>
        <v>#VALUE!</v>
      </c>
      <c r="HD7" t="e">
        <f>AND(Sheet1!Z59,"AAAAAHefANM=")</f>
        <v>#VALUE!</v>
      </c>
      <c r="HE7" t="e">
        <f>AND(Sheet1!AA59,"AAAAAHefANQ=")</f>
        <v>#VALUE!</v>
      </c>
      <c r="HF7" t="e">
        <f>AND(Sheet1!AB59,"AAAAAHefANU=")</f>
        <v>#VALUE!</v>
      </c>
      <c r="HG7">
        <f>IF(Sheet1!60:60,"AAAAAHefANY=",0)</f>
        <v>0</v>
      </c>
      <c r="HH7" t="e">
        <f>AND(Sheet1!A60,"AAAAAHefANc=")</f>
        <v>#VALUE!</v>
      </c>
      <c r="HI7" t="e">
        <f>AND(Sheet1!B60,"AAAAAHefANg=")</f>
        <v>#VALUE!</v>
      </c>
      <c r="HJ7" t="e">
        <f>AND(Sheet1!C60,"AAAAAHefANk=")</f>
        <v>#VALUE!</v>
      </c>
      <c r="HK7" t="e">
        <f>AND(Sheet1!D60,"AAAAAHefANo=")</f>
        <v>#VALUE!</v>
      </c>
      <c r="HL7" t="e">
        <f>AND(Sheet1!E60,"AAAAAHefANs=")</f>
        <v>#VALUE!</v>
      </c>
      <c r="HM7" t="e">
        <f>AND(Sheet1!F60,"AAAAAHefANw=")</f>
        <v>#VALUE!</v>
      </c>
      <c r="HN7" t="e">
        <f>AND(Sheet1!G60,"AAAAAHefAN0=")</f>
        <v>#VALUE!</v>
      </c>
      <c r="HO7" t="e">
        <f>AND(Sheet1!H60,"AAAAAHefAN4=")</f>
        <v>#VALUE!</v>
      </c>
      <c r="HP7" t="e">
        <f>AND(Sheet1!I60,"AAAAAHefAN8=")</f>
        <v>#VALUE!</v>
      </c>
      <c r="HQ7" t="e">
        <f>AND(Sheet1!J60,"AAAAAHefAOA=")</f>
        <v>#VALUE!</v>
      </c>
      <c r="HR7" t="e">
        <f>AND(Sheet1!K60,"AAAAAHefAOE=")</f>
        <v>#VALUE!</v>
      </c>
      <c r="HS7" t="e">
        <f>AND(Sheet1!L60,"AAAAAHefAOI=")</f>
        <v>#VALUE!</v>
      </c>
      <c r="HT7" t="e">
        <f>AND(Sheet1!M60,"AAAAAHefAOM=")</f>
        <v>#VALUE!</v>
      </c>
      <c r="HU7" t="e">
        <f>AND(Sheet1!N60,"AAAAAHefAOQ=")</f>
        <v>#VALUE!</v>
      </c>
      <c r="HV7" t="e">
        <f>AND(Sheet1!O60,"AAAAAHefAOU=")</f>
        <v>#VALUE!</v>
      </c>
      <c r="HW7" t="e">
        <f>AND(Sheet1!P60,"AAAAAHefAOY=")</f>
        <v>#VALUE!</v>
      </c>
      <c r="HX7" t="e">
        <f>AND(Sheet1!Q60,"AAAAAHefAOc=")</f>
        <v>#VALUE!</v>
      </c>
      <c r="HY7" t="e">
        <f>AND(Sheet1!R60,"AAAAAHefAOg=")</f>
        <v>#VALUE!</v>
      </c>
      <c r="HZ7" t="e">
        <f>AND(Sheet1!S60,"AAAAAHefAOk=")</f>
        <v>#VALUE!</v>
      </c>
      <c r="IA7" t="e">
        <f>AND(Sheet1!T60,"AAAAAHefAOo=")</f>
        <v>#VALUE!</v>
      </c>
      <c r="IB7" t="e">
        <f>AND(Sheet1!U60,"AAAAAHefAOs=")</f>
        <v>#VALUE!</v>
      </c>
      <c r="IC7" t="e">
        <f>AND(Sheet1!V60,"AAAAAHefAOw=")</f>
        <v>#VALUE!</v>
      </c>
      <c r="ID7" t="e">
        <f>AND(Sheet1!W60,"AAAAAHefAO0=")</f>
        <v>#VALUE!</v>
      </c>
      <c r="IE7" t="e">
        <f>AND(Sheet1!X60,"AAAAAHefAO4=")</f>
        <v>#VALUE!</v>
      </c>
      <c r="IF7" t="e">
        <f>AND(Sheet1!Y60,"AAAAAHefAO8=")</f>
        <v>#VALUE!</v>
      </c>
      <c r="IG7" t="e">
        <f>AND(Sheet1!Z60,"AAAAAHefAPA=")</f>
        <v>#VALUE!</v>
      </c>
      <c r="IH7" t="e">
        <f>AND(Sheet1!AA60,"AAAAAHefAPE=")</f>
        <v>#VALUE!</v>
      </c>
      <c r="II7" t="e">
        <f>AND(Sheet1!AB60,"AAAAAHefAPI=")</f>
        <v>#VALUE!</v>
      </c>
      <c r="IJ7">
        <f>IF(Sheet1!61:61,"AAAAAHefAPM=",0)</f>
        <v>0</v>
      </c>
      <c r="IK7" t="e">
        <f>AND(Sheet1!A61,"AAAAAHefAPQ=")</f>
        <v>#VALUE!</v>
      </c>
      <c r="IL7" t="e">
        <f>AND(Sheet1!B61,"AAAAAHefAPU=")</f>
        <v>#VALUE!</v>
      </c>
      <c r="IM7" t="e">
        <f>AND(Sheet1!C61,"AAAAAHefAPY=")</f>
        <v>#VALUE!</v>
      </c>
      <c r="IN7" t="e">
        <f>AND(Sheet1!D61,"AAAAAHefAPc=")</f>
        <v>#VALUE!</v>
      </c>
      <c r="IO7" t="e">
        <f>AND(Sheet1!E61,"AAAAAHefAPg=")</f>
        <v>#VALUE!</v>
      </c>
      <c r="IP7" t="e">
        <f>AND(Sheet1!F61,"AAAAAHefAPk=")</f>
        <v>#VALUE!</v>
      </c>
      <c r="IQ7" t="e">
        <f>AND(Sheet1!G61,"AAAAAHefAPo=")</f>
        <v>#VALUE!</v>
      </c>
      <c r="IR7" t="e">
        <f>AND(Sheet1!H61,"AAAAAHefAPs=")</f>
        <v>#VALUE!</v>
      </c>
      <c r="IS7" t="e">
        <f>AND(Sheet1!I61,"AAAAAHefAPw=")</f>
        <v>#VALUE!</v>
      </c>
      <c r="IT7" t="e">
        <f>AND(Sheet1!J61,"AAAAAHefAP0=")</f>
        <v>#VALUE!</v>
      </c>
      <c r="IU7" t="e">
        <f>AND(Sheet1!K61,"AAAAAHefAP4=")</f>
        <v>#VALUE!</v>
      </c>
      <c r="IV7" t="e">
        <f>AND(Sheet1!L61,"AAAAAHefAP8=")</f>
        <v>#VALUE!</v>
      </c>
    </row>
    <row r="8" spans="1:256" ht="12.75">
      <c r="A8" t="e">
        <f>AND(Sheet1!M61,"AAAAAE9//QA=")</f>
        <v>#VALUE!</v>
      </c>
      <c r="B8" t="e">
        <f>AND(Sheet1!N61,"AAAAAE9//QE=")</f>
        <v>#VALUE!</v>
      </c>
      <c r="C8" t="e">
        <f>AND(Sheet1!O61,"AAAAAE9//QI=")</f>
        <v>#VALUE!</v>
      </c>
      <c r="D8" t="e">
        <f>AND(Sheet1!P61,"AAAAAE9//QM=")</f>
        <v>#VALUE!</v>
      </c>
      <c r="E8" t="e">
        <f>AND(Sheet1!Q61,"AAAAAE9//QQ=")</f>
        <v>#VALUE!</v>
      </c>
      <c r="F8" t="e">
        <f>AND(Sheet1!R61,"AAAAAE9//QU=")</f>
        <v>#VALUE!</v>
      </c>
      <c r="G8" t="e">
        <f>AND(Sheet1!S61,"AAAAAE9//QY=")</f>
        <v>#VALUE!</v>
      </c>
      <c r="H8" t="e">
        <f>AND(Sheet1!T61,"AAAAAE9//Qc=")</f>
        <v>#VALUE!</v>
      </c>
      <c r="I8" t="e">
        <f>AND(Sheet1!U61,"AAAAAE9//Qg=")</f>
        <v>#VALUE!</v>
      </c>
      <c r="J8" t="e">
        <f>AND(Sheet1!V61,"AAAAAE9//Qk=")</f>
        <v>#VALUE!</v>
      </c>
      <c r="K8" t="e">
        <f>AND(Sheet1!W61,"AAAAAE9//Qo=")</f>
        <v>#VALUE!</v>
      </c>
      <c r="L8" t="e">
        <f>AND(Sheet1!X61,"AAAAAE9//Qs=")</f>
        <v>#VALUE!</v>
      </c>
      <c r="M8" t="e">
        <f>AND(Sheet1!Y61,"AAAAAE9//Qw=")</f>
        <v>#VALUE!</v>
      </c>
      <c r="N8" t="e">
        <f>AND(Sheet1!Z61,"AAAAAE9//Q0=")</f>
        <v>#VALUE!</v>
      </c>
      <c r="O8" t="e">
        <f>AND(Sheet1!AA61,"AAAAAE9//Q4=")</f>
        <v>#VALUE!</v>
      </c>
      <c r="P8" t="e">
        <f>AND(Sheet1!AB61,"AAAAAE9//Q8=")</f>
        <v>#VALUE!</v>
      </c>
      <c r="Q8">
        <f>IF(Sheet1!62:62,"AAAAAE9//RA=",0)</f>
        <v>0</v>
      </c>
      <c r="R8" t="e">
        <f>AND(Sheet1!A62,"AAAAAE9//RE=")</f>
        <v>#VALUE!</v>
      </c>
      <c r="S8" t="e">
        <f>AND(Sheet1!B62,"AAAAAE9//RI=")</f>
        <v>#VALUE!</v>
      </c>
      <c r="T8" t="e">
        <f>AND(Sheet1!C62,"AAAAAE9//RM=")</f>
        <v>#VALUE!</v>
      </c>
      <c r="U8" t="e">
        <f>AND(Sheet1!D62,"AAAAAE9//RQ=")</f>
        <v>#VALUE!</v>
      </c>
      <c r="V8" t="e">
        <f>AND(Sheet1!E62,"AAAAAE9//RU=")</f>
        <v>#VALUE!</v>
      </c>
      <c r="W8" t="e">
        <f>AND(Sheet1!F62,"AAAAAE9//RY=")</f>
        <v>#VALUE!</v>
      </c>
      <c r="X8" t="e">
        <f>AND(Sheet1!G62,"AAAAAE9//Rc=")</f>
        <v>#VALUE!</v>
      </c>
      <c r="Y8" t="e">
        <f>AND(Sheet1!H62,"AAAAAE9//Rg=")</f>
        <v>#VALUE!</v>
      </c>
      <c r="Z8" t="e">
        <f>AND(Sheet1!I62,"AAAAAE9//Rk=")</f>
        <v>#VALUE!</v>
      </c>
      <c r="AA8" t="e">
        <f>AND(Sheet1!J62,"AAAAAE9//Ro=")</f>
        <v>#VALUE!</v>
      </c>
      <c r="AB8" t="e">
        <f>AND(Sheet1!K62,"AAAAAE9//Rs=")</f>
        <v>#VALUE!</v>
      </c>
      <c r="AC8" t="e">
        <f>AND(Sheet1!L62,"AAAAAE9//Rw=")</f>
        <v>#VALUE!</v>
      </c>
      <c r="AD8" t="e">
        <f>AND(Sheet1!M62,"AAAAAE9//R0=")</f>
        <v>#VALUE!</v>
      </c>
      <c r="AE8" t="e">
        <f>AND(Sheet1!N62,"AAAAAE9//R4=")</f>
        <v>#VALUE!</v>
      </c>
      <c r="AF8" t="e">
        <f>AND(Sheet1!O62,"AAAAAE9//R8=")</f>
        <v>#VALUE!</v>
      </c>
      <c r="AG8" t="e">
        <f>AND(Sheet1!P62,"AAAAAE9//SA=")</f>
        <v>#VALUE!</v>
      </c>
      <c r="AH8" t="e">
        <f>AND(Sheet1!Q62,"AAAAAE9//SE=")</f>
        <v>#VALUE!</v>
      </c>
      <c r="AI8" t="e">
        <f>AND(Sheet1!R62,"AAAAAE9//SI=")</f>
        <v>#VALUE!</v>
      </c>
      <c r="AJ8" t="e">
        <f>AND(Sheet1!S62,"AAAAAE9//SM=")</f>
        <v>#VALUE!</v>
      </c>
      <c r="AK8" t="e">
        <f>AND(Sheet1!T62,"AAAAAE9//SQ=")</f>
        <v>#VALUE!</v>
      </c>
      <c r="AL8" t="e">
        <f>AND(Sheet1!U62,"AAAAAE9//SU=")</f>
        <v>#VALUE!</v>
      </c>
      <c r="AM8" t="e">
        <f>AND(Sheet1!V62,"AAAAAE9//SY=")</f>
        <v>#VALUE!</v>
      </c>
      <c r="AN8" t="e">
        <f>AND(Sheet1!W62,"AAAAAE9//Sc=")</f>
        <v>#VALUE!</v>
      </c>
      <c r="AO8" t="e">
        <f>AND(Sheet1!X62,"AAAAAE9//Sg=")</f>
        <v>#VALUE!</v>
      </c>
      <c r="AP8" t="e">
        <f>AND(Sheet1!Y62,"AAAAAE9//Sk=")</f>
        <v>#VALUE!</v>
      </c>
      <c r="AQ8" t="e">
        <f>AND(Sheet1!Z62,"AAAAAE9//So=")</f>
        <v>#VALUE!</v>
      </c>
      <c r="AR8" t="e">
        <f>AND(Sheet1!AA62,"AAAAAE9//Ss=")</f>
        <v>#VALUE!</v>
      </c>
      <c r="AS8" t="e">
        <f>AND(Sheet1!AB62,"AAAAAE9//Sw=")</f>
        <v>#VALUE!</v>
      </c>
      <c r="AT8">
        <f>IF(Sheet1!63:63,"AAAAAE9//S0=",0)</f>
        <v>0</v>
      </c>
      <c r="AU8" t="e">
        <f>AND(Sheet1!A63,"AAAAAE9//S4=")</f>
        <v>#VALUE!</v>
      </c>
      <c r="AV8" t="e">
        <f>AND(Sheet1!B63,"AAAAAE9//S8=")</f>
        <v>#VALUE!</v>
      </c>
      <c r="AW8" t="e">
        <f>AND(Sheet1!C63,"AAAAAE9//TA=")</f>
        <v>#VALUE!</v>
      </c>
      <c r="AX8" t="e">
        <f>AND(Sheet1!D63,"AAAAAE9//TE=")</f>
        <v>#VALUE!</v>
      </c>
      <c r="AY8" t="e">
        <f>AND(Sheet1!E63,"AAAAAE9//TI=")</f>
        <v>#VALUE!</v>
      </c>
      <c r="AZ8" t="e">
        <f>AND(Sheet1!F63,"AAAAAE9//TM=")</f>
        <v>#VALUE!</v>
      </c>
      <c r="BA8" t="e">
        <f>AND(Sheet1!G63,"AAAAAE9//TQ=")</f>
        <v>#VALUE!</v>
      </c>
      <c r="BB8" t="e">
        <f>AND(Sheet1!H63,"AAAAAE9//TU=")</f>
        <v>#VALUE!</v>
      </c>
      <c r="BC8" t="e">
        <f>AND(Sheet1!I63,"AAAAAE9//TY=")</f>
        <v>#VALUE!</v>
      </c>
      <c r="BD8" t="e">
        <f>AND(Sheet1!J63,"AAAAAE9//Tc=")</f>
        <v>#VALUE!</v>
      </c>
      <c r="BE8" t="e">
        <f>AND(Sheet1!K63,"AAAAAE9//Tg=")</f>
        <v>#VALUE!</v>
      </c>
      <c r="BF8" t="e">
        <f>AND(Sheet1!L63,"AAAAAE9//Tk=")</f>
        <v>#VALUE!</v>
      </c>
      <c r="BG8" t="e">
        <f>AND(Sheet1!M63,"AAAAAE9//To=")</f>
        <v>#VALUE!</v>
      </c>
      <c r="BH8" t="e">
        <f>AND(Sheet1!N63,"AAAAAE9//Ts=")</f>
        <v>#VALUE!</v>
      </c>
      <c r="BI8" t="e">
        <f>AND(Sheet1!O63,"AAAAAE9//Tw=")</f>
        <v>#VALUE!</v>
      </c>
      <c r="BJ8" t="e">
        <f>AND(Sheet1!P63,"AAAAAE9//T0=")</f>
        <v>#VALUE!</v>
      </c>
      <c r="BK8" t="e">
        <f>AND(Sheet1!Q63,"AAAAAE9//T4=")</f>
        <v>#VALUE!</v>
      </c>
      <c r="BL8" t="e">
        <f>AND(Sheet1!R63,"AAAAAE9//T8=")</f>
        <v>#VALUE!</v>
      </c>
      <c r="BM8" t="e">
        <f>AND(Sheet1!S63,"AAAAAE9//UA=")</f>
        <v>#VALUE!</v>
      </c>
      <c r="BN8" t="e">
        <f>AND(Sheet1!T63,"AAAAAE9//UE=")</f>
        <v>#VALUE!</v>
      </c>
      <c r="BO8" t="e">
        <f>AND(Sheet1!U63,"AAAAAE9//UI=")</f>
        <v>#VALUE!</v>
      </c>
      <c r="BP8" t="e">
        <f>AND(Sheet1!V63,"AAAAAE9//UM=")</f>
        <v>#VALUE!</v>
      </c>
      <c r="BQ8" t="e">
        <f>AND(Sheet1!W63,"AAAAAE9//UQ=")</f>
        <v>#VALUE!</v>
      </c>
      <c r="BR8" t="e">
        <f>AND(Sheet1!X63,"AAAAAE9//UU=")</f>
        <v>#VALUE!</v>
      </c>
      <c r="BS8" t="e">
        <f>AND(Sheet1!Y63,"AAAAAE9//UY=")</f>
        <v>#VALUE!</v>
      </c>
      <c r="BT8" t="e">
        <f>AND(Sheet1!Z63,"AAAAAE9//Uc=")</f>
        <v>#VALUE!</v>
      </c>
      <c r="BU8" t="e">
        <f>AND(Sheet1!AA63,"AAAAAE9//Ug=")</f>
        <v>#VALUE!</v>
      </c>
      <c r="BV8" t="e">
        <f>AND(Sheet1!AB63,"AAAAAE9//Uk=")</f>
        <v>#VALUE!</v>
      </c>
      <c r="BW8">
        <f>IF(Sheet1!64:64,"AAAAAE9//Uo=",0)</f>
        <v>0</v>
      </c>
      <c r="BX8" t="e">
        <f>AND(Sheet1!A64,"AAAAAE9//Us=")</f>
        <v>#VALUE!</v>
      </c>
      <c r="BY8" t="e">
        <f>AND(Sheet1!B64,"AAAAAE9//Uw=")</f>
        <v>#VALUE!</v>
      </c>
      <c r="BZ8" t="e">
        <f>AND(Sheet1!C64,"AAAAAE9//U0=")</f>
        <v>#VALUE!</v>
      </c>
      <c r="CA8" t="e">
        <f>AND(Sheet1!D64,"AAAAAE9//U4=")</f>
        <v>#VALUE!</v>
      </c>
      <c r="CB8" t="e">
        <f>AND(Sheet1!E64,"AAAAAE9//U8=")</f>
        <v>#VALUE!</v>
      </c>
      <c r="CC8" t="e">
        <f>AND(Sheet1!F64,"AAAAAE9//VA=")</f>
        <v>#VALUE!</v>
      </c>
      <c r="CD8" t="e">
        <f>AND(Sheet1!G64,"AAAAAE9//VE=")</f>
        <v>#VALUE!</v>
      </c>
      <c r="CE8" t="e">
        <f>AND(Sheet1!H64,"AAAAAE9//VI=")</f>
        <v>#VALUE!</v>
      </c>
      <c r="CF8" t="e">
        <f>AND(Sheet1!I64,"AAAAAE9//VM=")</f>
        <v>#VALUE!</v>
      </c>
      <c r="CG8" t="e">
        <f>AND(Sheet1!J64,"AAAAAE9//VQ=")</f>
        <v>#VALUE!</v>
      </c>
      <c r="CH8" t="e">
        <f>AND(Sheet1!K64,"AAAAAE9//VU=")</f>
        <v>#VALUE!</v>
      </c>
      <c r="CI8" t="e">
        <f>AND(Sheet1!L64,"AAAAAE9//VY=")</f>
        <v>#VALUE!</v>
      </c>
      <c r="CJ8" t="e">
        <f>AND(Sheet1!M64,"AAAAAE9//Vc=")</f>
        <v>#VALUE!</v>
      </c>
      <c r="CK8" t="e">
        <f>AND(Sheet1!N64,"AAAAAE9//Vg=")</f>
        <v>#VALUE!</v>
      </c>
      <c r="CL8" t="e">
        <f>AND(Sheet1!O64,"AAAAAE9//Vk=")</f>
        <v>#VALUE!</v>
      </c>
      <c r="CM8" t="e">
        <f>AND(Sheet1!P64,"AAAAAE9//Vo=")</f>
        <v>#VALUE!</v>
      </c>
      <c r="CN8" t="e">
        <f>AND(Sheet1!Q64,"AAAAAE9//Vs=")</f>
        <v>#VALUE!</v>
      </c>
      <c r="CO8" t="e">
        <f>AND(Sheet1!R64,"AAAAAE9//Vw=")</f>
        <v>#VALUE!</v>
      </c>
      <c r="CP8" t="e">
        <f>AND(Sheet1!S64,"AAAAAE9//V0=")</f>
        <v>#VALUE!</v>
      </c>
      <c r="CQ8" t="e">
        <f>AND(Sheet1!T64,"AAAAAE9//V4=")</f>
        <v>#VALUE!</v>
      </c>
      <c r="CR8" t="e">
        <f>AND(Sheet1!U64,"AAAAAE9//V8=")</f>
        <v>#VALUE!</v>
      </c>
      <c r="CS8" t="e">
        <f>AND(Sheet1!V64,"AAAAAE9//WA=")</f>
        <v>#VALUE!</v>
      </c>
      <c r="CT8" t="e">
        <f>AND(Sheet1!W64,"AAAAAE9//WE=")</f>
        <v>#VALUE!</v>
      </c>
      <c r="CU8" t="e">
        <f>AND(Sheet1!X64,"AAAAAE9//WI=")</f>
        <v>#VALUE!</v>
      </c>
      <c r="CV8" t="e">
        <f>AND(Sheet1!Y64,"AAAAAE9//WM=")</f>
        <v>#VALUE!</v>
      </c>
      <c r="CW8" t="e">
        <f>AND(Sheet1!Z64,"AAAAAE9//WQ=")</f>
        <v>#VALUE!</v>
      </c>
      <c r="CX8" t="e">
        <f>AND(Sheet1!AA64,"AAAAAE9//WU=")</f>
        <v>#VALUE!</v>
      </c>
      <c r="CY8" t="e">
        <f>AND(Sheet1!AB64,"AAAAAE9//WY=")</f>
        <v>#VALUE!</v>
      </c>
      <c r="CZ8">
        <f>IF(Sheet1!65:65,"AAAAAE9//Wc=",0)</f>
        <v>0</v>
      </c>
      <c r="DA8" t="e">
        <f>AND(Sheet1!A65,"AAAAAE9//Wg=")</f>
        <v>#VALUE!</v>
      </c>
      <c r="DB8" t="e">
        <f>AND(Sheet1!B65,"AAAAAE9//Wk=")</f>
        <v>#VALUE!</v>
      </c>
      <c r="DC8" t="e">
        <f>AND(Sheet1!C65,"AAAAAE9//Wo=")</f>
        <v>#VALUE!</v>
      </c>
      <c r="DD8" t="e">
        <f>AND(Sheet1!D65,"AAAAAE9//Ws=")</f>
        <v>#VALUE!</v>
      </c>
      <c r="DE8" t="e">
        <f>AND(Sheet1!E65,"AAAAAE9//Ww=")</f>
        <v>#VALUE!</v>
      </c>
      <c r="DF8" t="e">
        <f>AND(Sheet1!F65,"AAAAAE9//W0=")</f>
        <v>#VALUE!</v>
      </c>
      <c r="DG8" t="e">
        <f>AND(Sheet1!G65,"AAAAAE9//W4=")</f>
        <v>#VALUE!</v>
      </c>
      <c r="DH8" t="e">
        <f>AND(Sheet1!H65,"AAAAAE9//W8=")</f>
        <v>#VALUE!</v>
      </c>
      <c r="DI8" t="e">
        <f>AND(Sheet1!I65,"AAAAAE9//XA=")</f>
        <v>#VALUE!</v>
      </c>
      <c r="DJ8" t="e">
        <f>AND(Sheet1!J65,"AAAAAE9//XE=")</f>
        <v>#VALUE!</v>
      </c>
      <c r="DK8" t="e">
        <f>AND(Sheet1!K65,"AAAAAE9//XI=")</f>
        <v>#VALUE!</v>
      </c>
      <c r="DL8" t="e">
        <f>AND(Sheet1!L65,"AAAAAE9//XM=")</f>
        <v>#VALUE!</v>
      </c>
      <c r="DM8" t="e">
        <f>AND(Sheet1!M65,"AAAAAE9//XQ=")</f>
        <v>#VALUE!</v>
      </c>
      <c r="DN8" t="e">
        <f>AND(Sheet1!N65,"AAAAAE9//XU=")</f>
        <v>#VALUE!</v>
      </c>
      <c r="DO8" t="e">
        <f>AND(Sheet1!O65,"AAAAAE9//XY=")</f>
        <v>#VALUE!</v>
      </c>
      <c r="DP8" t="e">
        <f>AND(Sheet1!P65,"AAAAAE9//Xc=")</f>
        <v>#VALUE!</v>
      </c>
      <c r="DQ8" t="e">
        <f>AND(Sheet1!Q65,"AAAAAE9//Xg=")</f>
        <v>#VALUE!</v>
      </c>
      <c r="DR8" t="e">
        <f>AND(Sheet1!R65,"AAAAAE9//Xk=")</f>
        <v>#VALUE!</v>
      </c>
      <c r="DS8" t="e">
        <f>AND(Sheet1!S65,"AAAAAE9//Xo=")</f>
        <v>#VALUE!</v>
      </c>
      <c r="DT8" t="e">
        <f>AND(Sheet1!T65,"AAAAAE9//Xs=")</f>
        <v>#VALUE!</v>
      </c>
      <c r="DU8" t="e">
        <f>AND(Sheet1!U65,"AAAAAE9//Xw=")</f>
        <v>#VALUE!</v>
      </c>
      <c r="DV8" t="e">
        <f>AND(Sheet1!V65,"AAAAAE9//X0=")</f>
        <v>#VALUE!</v>
      </c>
      <c r="DW8" t="e">
        <f>AND(Sheet1!W65,"AAAAAE9//X4=")</f>
        <v>#VALUE!</v>
      </c>
      <c r="DX8" t="e">
        <f>AND(Sheet1!X65,"AAAAAE9//X8=")</f>
        <v>#VALUE!</v>
      </c>
      <c r="DY8" t="e">
        <f>AND(Sheet1!Y65,"AAAAAE9//YA=")</f>
        <v>#VALUE!</v>
      </c>
      <c r="DZ8" t="e">
        <f>AND(Sheet1!Z65,"AAAAAE9//YE=")</f>
        <v>#VALUE!</v>
      </c>
      <c r="EA8" t="e">
        <f>AND(Sheet1!AA65,"AAAAAE9//YI=")</f>
        <v>#VALUE!</v>
      </c>
      <c r="EB8" t="e">
        <f>AND(Sheet1!AB65,"AAAAAE9//YM=")</f>
        <v>#VALUE!</v>
      </c>
      <c r="EC8">
        <f>IF(Sheet1!66:66,"AAAAAE9//YQ=",0)</f>
        <v>0</v>
      </c>
      <c r="ED8" t="e">
        <f>AND(Sheet1!A66,"AAAAAE9//YU=")</f>
        <v>#VALUE!</v>
      </c>
      <c r="EE8" t="e">
        <f>AND(Sheet1!B66,"AAAAAE9//YY=")</f>
        <v>#VALUE!</v>
      </c>
      <c r="EF8" t="e">
        <f>AND(Sheet1!C66,"AAAAAE9//Yc=")</f>
        <v>#VALUE!</v>
      </c>
      <c r="EG8" t="e">
        <f>AND(Sheet1!D66,"AAAAAE9//Yg=")</f>
        <v>#VALUE!</v>
      </c>
      <c r="EH8" t="e">
        <f>AND(Sheet1!E66,"AAAAAE9//Yk=")</f>
        <v>#VALUE!</v>
      </c>
      <c r="EI8" t="e">
        <f>AND(Sheet1!F66,"AAAAAE9//Yo=")</f>
        <v>#VALUE!</v>
      </c>
      <c r="EJ8" t="e">
        <f>AND(Sheet1!G66,"AAAAAE9//Ys=")</f>
        <v>#VALUE!</v>
      </c>
      <c r="EK8" t="e">
        <f>AND(Sheet1!H66,"AAAAAE9//Yw=")</f>
        <v>#VALUE!</v>
      </c>
      <c r="EL8" t="e">
        <f>AND(Sheet1!I66,"AAAAAE9//Y0=")</f>
        <v>#VALUE!</v>
      </c>
      <c r="EM8" t="e">
        <f>AND(Sheet1!J66,"AAAAAE9//Y4=")</f>
        <v>#VALUE!</v>
      </c>
      <c r="EN8" t="e">
        <f>AND(Sheet1!K66,"AAAAAE9//Y8=")</f>
        <v>#VALUE!</v>
      </c>
      <c r="EO8" t="e">
        <f>AND(Sheet1!L66,"AAAAAE9//ZA=")</f>
        <v>#VALUE!</v>
      </c>
      <c r="EP8" t="e">
        <f>AND(Sheet1!M66,"AAAAAE9//ZE=")</f>
        <v>#VALUE!</v>
      </c>
      <c r="EQ8" t="e">
        <f>AND(Sheet1!N66,"AAAAAE9//ZI=")</f>
        <v>#VALUE!</v>
      </c>
      <c r="ER8" t="e">
        <f>AND(Sheet1!O66,"AAAAAE9//ZM=")</f>
        <v>#VALUE!</v>
      </c>
      <c r="ES8" t="e">
        <f>AND(Sheet1!P66,"AAAAAE9//ZQ=")</f>
        <v>#VALUE!</v>
      </c>
      <c r="ET8" t="e">
        <f>AND(Sheet1!Q66,"AAAAAE9//ZU=")</f>
        <v>#VALUE!</v>
      </c>
      <c r="EU8" t="e">
        <f>AND(Sheet1!R66,"AAAAAE9//ZY=")</f>
        <v>#VALUE!</v>
      </c>
      <c r="EV8" t="e">
        <f>AND(Sheet1!S66,"AAAAAE9//Zc=")</f>
        <v>#VALUE!</v>
      </c>
      <c r="EW8" t="e">
        <f>AND(Sheet1!T66,"AAAAAE9//Zg=")</f>
        <v>#VALUE!</v>
      </c>
      <c r="EX8" t="e">
        <f>AND(Sheet1!U66,"AAAAAE9//Zk=")</f>
        <v>#VALUE!</v>
      </c>
      <c r="EY8" t="e">
        <f>AND(Sheet1!V66,"AAAAAE9//Zo=")</f>
        <v>#VALUE!</v>
      </c>
      <c r="EZ8" t="e">
        <f>AND(Sheet1!W66,"AAAAAE9//Zs=")</f>
        <v>#VALUE!</v>
      </c>
      <c r="FA8" t="e">
        <f>AND(Sheet1!X66,"AAAAAE9//Zw=")</f>
        <v>#VALUE!</v>
      </c>
      <c r="FB8" t="e">
        <f>AND(Sheet1!Y66,"AAAAAE9//Z0=")</f>
        <v>#VALUE!</v>
      </c>
      <c r="FC8" t="e">
        <f>AND(Sheet1!Z66,"AAAAAE9//Z4=")</f>
        <v>#VALUE!</v>
      </c>
      <c r="FD8" t="e">
        <f>AND(Sheet1!AA66,"AAAAAE9//Z8=")</f>
        <v>#VALUE!</v>
      </c>
      <c r="FE8" t="e">
        <f>AND(Sheet1!AB66,"AAAAAE9//aA=")</f>
        <v>#VALUE!</v>
      </c>
      <c r="FF8">
        <f>IF(Sheet1!67:67,"AAAAAE9//aE=",0)</f>
        <v>0</v>
      </c>
      <c r="FG8" t="e">
        <f>AND(Sheet1!A67,"AAAAAE9//aI=")</f>
        <v>#VALUE!</v>
      </c>
      <c r="FH8" t="e">
        <f>AND(Sheet1!B67,"AAAAAE9//aM=")</f>
        <v>#VALUE!</v>
      </c>
      <c r="FI8" t="e">
        <f>AND(Sheet1!C67,"AAAAAE9//aQ=")</f>
        <v>#VALUE!</v>
      </c>
      <c r="FJ8" t="e">
        <f>AND(Sheet1!D67,"AAAAAE9//aU=")</f>
        <v>#VALUE!</v>
      </c>
      <c r="FK8" t="e">
        <f>AND(Sheet1!E67,"AAAAAE9//aY=")</f>
        <v>#VALUE!</v>
      </c>
      <c r="FL8" t="e">
        <f>AND(Sheet1!F67,"AAAAAE9//ac=")</f>
        <v>#VALUE!</v>
      </c>
      <c r="FM8" t="e">
        <f>AND(Sheet1!G67,"AAAAAE9//ag=")</f>
        <v>#VALUE!</v>
      </c>
      <c r="FN8" t="e">
        <f>AND(Sheet1!H67,"AAAAAE9//ak=")</f>
        <v>#VALUE!</v>
      </c>
      <c r="FO8" t="e">
        <f>AND(Sheet1!I67,"AAAAAE9//ao=")</f>
        <v>#VALUE!</v>
      </c>
      <c r="FP8" t="e">
        <f>AND(Sheet1!J67,"AAAAAE9//as=")</f>
        <v>#VALUE!</v>
      </c>
      <c r="FQ8" t="e">
        <f>AND(Sheet1!K67,"AAAAAE9//aw=")</f>
        <v>#VALUE!</v>
      </c>
      <c r="FR8" t="e">
        <f>AND(Sheet1!L67,"AAAAAE9//a0=")</f>
        <v>#VALUE!</v>
      </c>
      <c r="FS8" t="e">
        <f>AND(Sheet1!M67,"AAAAAE9//a4=")</f>
        <v>#VALUE!</v>
      </c>
      <c r="FT8" t="e">
        <f>AND(Sheet1!N67,"AAAAAE9//a8=")</f>
        <v>#VALUE!</v>
      </c>
      <c r="FU8" t="e">
        <f>AND(Sheet1!O67,"AAAAAE9//bA=")</f>
        <v>#VALUE!</v>
      </c>
      <c r="FV8" t="e">
        <f>AND(Sheet1!P67,"AAAAAE9//bE=")</f>
        <v>#VALUE!</v>
      </c>
      <c r="FW8" t="e">
        <f>AND(Sheet1!Q67,"AAAAAE9//bI=")</f>
        <v>#VALUE!</v>
      </c>
      <c r="FX8" t="e">
        <f>AND(Sheet1!R67,"AAAAAE9//bM=")</f>
        <v>#VALUE!</v>
      </c>
      <c r="FY8" t="e">
        <f>AND(Sheet1!S67,"AAAAAE9//bQ=")</f>
        <v>#VALUE!</v>
      </c>
      <c r="FZ8" t="e">
        <f>AND(Sheet1!T67,"AAAAAE9//bU=")</f>
        <v>#VALUE!</v>
      </c>
      <c r="GA8" t="e">
        <f>AND(Sheet1!U67,"AAAAAE9//bY=")</f>
        <v>#VALUE!</v>
      </c>
      <c r="GB8" t="e">
        <f>AND(Sheet1!V67,"AAAAAE9//bc=")</f>
        <v>#VALUE!</v>
      </c>
      <c r="GC8" t="e">
        <f>AND(Sheet1!W67,"AAAAAE9//bg=")</f>
        <v>#VALUE!</v>
      </c>
      <c r="GD8" t="e">
        <f>AND(Sheet1!X67,"AAAAAE9//bk=")</f>
        <v>#VALUE!</v>
      </c>
      <c r="GE8" t="e">
        <f>AND(Sheet1!Y67,"AAAAAE9//bo=")</f>
        <v>#VALUE!</v>
      </c>
      <c r="GF8" t="e">
        <f>AND(Sheet1!Z67,"AAAAAE9//bs=")</f>
        <v>#VALUE!</v>
      </c>
      <c r="GG8" t="e">
        <f>AND(Sheet1!AA67,"AAAAAE9//bw=")</f>
        <v>#VALUE!</v>
      </c>
      <c r="GH8" t="e">
        <f>AND(Sheet1!AB67,"AAAAAE9//b0=")</f>
        <v>#VALUE!</v>
      </c>
      <c r="GI8">
        <f>IF(Sheet1!68:68,"AAAAAE9//b4=",0)</f>
        <v>0</v>
      </c>
      <c r="GJ8" t="e">
        <f>AND(Sheet1!A68,"AAAAAE9//b8=")</f>
        <v>#VALUE!</v>
      </c>
      <c r="GK8" t="e">
        <f>AND(Sheet1!B68,"AAAAAE9//cA=")</f>
        <v>#VALUE!</v>
      </c>
      <c r="GL8" t="e">
        <f>AND(Sheet1!C68,"AAAAAE9//cE=")</f>
        <v>#VALUE!</v>
      </c>
      <c r="GM8" t="e">
        <f>AND(Sheet1!D68,"AAAAAE9//cI=")</f>
        <v>#VALUE!</v>
      </c>
      <c r="GN8" t="e">
        <f>AND(Sheet1!E68,"AAAAAE9//cM=")</f>
        <v>#VALUE!</v>
      </c>
      <c r="GO8" t="e">
        <f>AND(Sheet1!F68,"AAAAAE9//cQ=")</f>
        <v>#VALUE!</v>
      </c>
      <c r="GP8" t="e">
        <f>AND(Sheet1!G68,"AAAAAE9//cU=")</f>
        <v>#VALUE!</v>
      </c>
      <c r="GQ8" t="e">
        <f>AND(Sheet1!H68,"AAAAAE9//cY=")</f>
        <v>#VALUE!</v>
      </c>
      <c r="GR8" t="e">
        <f>AND(Sheet1!I68,"AAAAAE9//cc=")</f>
        <v>#VALUE!</v>
      </c>
      <c r="GS8" t="e">
        <f>AND(Sheet1!J68,"AAAAAE9//cg=")</f>
        <v>#VALUE!</v>
      </c>
      <c r="GT8" t="e">
        <f>AND(Sheet1!K68,"AAAAAE9//ck=")</f>
        <v>#VALUE!</v>
      </c>
      <c r="GU8" t="e">
        <f>AND(Sheet1!L68,"AAAAAE9//co=")</f>
        <v>#VALUE!</v>
      </c>
      <c r="GV8" t="e">
        <f>AND(Sheet1!M68,"AAAAAE9//cs=")</f>
        <v>#VALUE!</v>
      </c>
      <c r="GW8" t="e">
        <f>AND(Sheet1!N68,"AAAAAE9//cw=")</f>
        <v>#VALUE!</v>
      </c>
      <c r="GX8" t="e">
        <f>AND(Sheet1!O68,"AAAAAE9//c0=")</f>
        <v>#VALUE!</v>
      </c>
      <c r="GY8" t="e">
        <f>AND(Sheet1!P68,"AAAAAE9//c4=")</f>
        <v>#VALUE!</v>
      </c>
      <c r="GZ8" t="e">
        <f>AND(Sheet1!Q68,"AAAAAE9//c8=")</f>
        <v>#VALUE!</v>
      </c>
      <c r="HA8" t="e">
        <f>AND(Sheet1!R68,"AAAAAE9//dA=")</f>
        <v>#VALUE!</v>
      </c>
      <c r="HB8" t="e">
        <f>AND(Sheet1!S68,"AAAAAE9//dE=")</f>
        <v>#VALUE!</v>
      </c>
      <c r="HC8" t="e">
        <f>AND(Sheet1!T68,"AAAAAE9//dI=")</f>
        <v>#VALUE!</v>
      </c>
      <c r="HD8" t="e">
        <f>AND(Sheet1!U68,"AAAAAE9//dM=")</f>
        <v>#VALUE!</v>
      </c>
      <c r="HE8" t="e">
        <f>AND(Sheet1!V68,"AAAAAE9//dQ=")</f>
        <v>#VALUE!</v>
      </c>
      <c r="HF8" t="e">
        <f>AND(Sheet1!W68,"AAAAAE9//dU=")</f>
        <v>#VALUE!</v>
      </c>
      <c r="HG8" t="e">
        <f>AND(Sheet1!X68,"AAAAAE9//dY=")</f>
        <v>#VALUE!</v>
      </c>
      <c r="HH8" t="e">
        <f>AND(Sheet1!Y68,"AAAAAE9//dc=")</f>
        <v>#VALUE!</v>
      </c>
      <c r="HI8" t="e">
        <f>AND(Sheet1!Z68,"AAAAAE9//dg=")</f>
        <v>#VALUE!</v>
      </c>
      <c r="HJ8" t="e">
        <f>AND(Sheet1!AA68,"AAAAAE9//dk=")</f>
        <v>#VALUE!</v>
      </c>
      <c r="HK8" t="e">
        <f>AND(Sheet1!AB68,"AAAAAE9//do=")</f>
        <v>#VALUE!</v>
      </c>
      <c r="HL8">
        <f>IF(Sheet1!69:69,"AAAAAE9//ds=",0)</f>
        <v>0</v>
      </c>
      <c r="HM8" t="e">
        <f>AND(Sheet1!A69,"AAAAAE9//dw=")</f>
        <v>#VALUE!</v>
      </c>
      <c r="HN8" t="e">
        <f>AND(Sheet1!B69,"AAAAAE9//d0=")</f>
        <v>#VALUE!</v>
      </c>
      <c r="HO8" t="e">
        <f>AND(Sheet1!C69,"AAAAAE9//d4=")</f>
        <v>#VALUE!</v>
      </c>
      <c r="HP8" t="e">
        <f>AND(Sheet1!D69,"AAAAAE9//d8=")</f>
        <v>#VALUE!</v>
      </c>
      <c r="HQ8" t="e">
        <f>AND(Sheet1!E69,"AAAAAE9//eA=")</f>
        <v>#VALUE!</v>
      </c>
      <c r="HR8" t="e">
        <f>AND(Sheet1!F69,"AAAAAE9//eE=")</f>
        <v>#VALUE!</v>
      </c>
      <c r="HS8" t="e">
        <f>AND(Sheet1!G69,"AAAAAE9//eI=")</f>
        <v>#VALUE!</v>
      </c>
      <c r="HT8" t="e">
        <f>AND(Sheet1!H69,"AAAAAE9//eM=")</f>
        <v>#VALUE!</v>
      </c>
      <c r="HU8" t="e">
        <f>AND(Sheet1!I69,"AAAAAE9//eQ=")</f>
        <v>#VALUE!</v>
      </c>
      <c r="HV8" t="e">
        <f>AND(Sheet1!J69,"AAAAAE9//eU=")</f>
        <v>#VALUE!</v>
      </c>
      <c r="HW8" t="e">
        <f>AND(Sheet1!K69,"AAAAAE9//eY=")</f>
        <v>#VALUE!</v>
      </c>
      <c r="HX8" t="e">
        <f>AND(Sheet1!L69,"AAAAAE9//ec=")</f>
        <v>#VALUE!</v>
      </c>
      <c r="HY8" t="e">
        <f>AND(Sheet1!M69,"AAAAAE9//eg=")</f>
        <v>#VALUE!</v>
      </c>
      <c r="HZ8" t="e">
        <f>AND(Sheet1!N69,"AAAAAE9//ek=")</f>
        <v>#VALUE!</v>
      </c>
      <c r="IA8" t="e">
        <f>AND(Sheet1!O69,"AAAAAE9//eo=")</f>
        <v>#VALUE!</v>
      </c>
      <c r="IB8" t="e">
        <f>AND(Sheet1!P69,"AAAAAE9//es=")</f>
        <v>#VALUE!</v>
      </c>
      <c r="IC8" t="e">
        <f>AND(Sheet1!Q69,"AAAAAE9//ew=")</f>
        <v>#VALUE!</v>
      </c>
      <c r="ID8" t="e">
        <f>AND(Sheet1!R69,"AAAAAE9//e0=")</f>
        <v>#VALUE!</v>
      </c>
      <c r="IE8" t="e">
        <f>AND(Sheet1!S69,"AAAAAE9//e4=")</f>
        <v>#VALUE!</v>
      </c>
      <c r="IF8" t="e">
        <f>AND(Sheet1!T69,"AAAAAE9//e8=")</f>
        <v>#VALUE!</v>
      </c>
      <c r="IG8" t="e">
        <f>AND(Sheet1!U69,"AAAAAE9//fA=")</f>
        <v>#VALUE!</v>
      </c>
      <c r="IH8" t="e">
        <f>AND(Sheet1!V69,"AAAAAE9//fE=")</f>
        <v>#VALUE!</v>
      </c>
      <c r="II8" t="e">
        <f>AND(Sheet1!W69,"AAAAAE9//fI=")</f>
        <v>#VALUE!</v>
      </c>
      <c r="IJ8" t="e">
        <f>AND(Sheet1!X69,"AAAAAE9//fM=")</f>
        <v>#VALUE!</v>
      </c>
      <c r="IK8" t="e">
        <f>AND(Sheet1!Y69,"AAAAAE9//fQ=")</f>
        <v>#VALUE!</v>
      </c>
      <c r="IL8" t="e">
        <f>AND(Sheet1!Z69,"AAAAAE9//fU=")</f>
        <v>#VALUE!</v>
      </c>
      <c r="IM8" t="e">
        <f>AND(Sheet1!AA69,"AAAAAE9//fY=")</f>
        <v>#VALUE!</v>
      </c>
      <c r="IN8" t="e">
        <f>AND(Sheet1!AB69,"AAAAAE9//fc=")</f>
        <v>#VALUE!</v>
      </c>
      <c r="IO8">
        <f>IF(Sheet1!70:70,"AAAAAE9//fg=",0)</f>
        <v>0</v>
      </c>
      <c r="IP8" t="e">
        <f>AND(Sheet1!A70,"AAAAAE9//fk=")</f>
        <v>#VALUE!</v>
      </c>
      <c r="IQ8" t="e">
        <f>AND(Sheet1!B70,"AAAAAE9//fo=")</f>
        <v>#VALUE!</v>
      </c>
      <c r="IR8" t="e">
        <f>AND(Sheet1!C70,"AAAAAE9//fs=")</f>
        <v>#VALUE!</v>
      </c>
      <c r="IS8" t="e">
        <f>AND(Sheet1!D70,"AAAAAE9//fw=")</f>
        <v>#VALUE!</v>
      </c>
      <c r="IT8" t="e">
        <f>AND(Sheet1!E70,"AAAAAE9//f0=")</f>
        <v>#VALUE!</v>
      </c>
      <c r="IU8" t="e">
        <f>AND(Sheet1!F70,"AAAAAE9//f4=")</f>
        <v>#VALUE!</v>
      </c>
      <c r="IV8" t="e">
        <f>AND(Sheet1!G70,"AAAAAE9//f8=")</f>
        <v>#VALUE!</v>
      </c>
    </row>
    <row r="9" spans="1:256" ht="12.75">
      <c r="A9" t="e">
        <f>AND(Sheet1!H70,"AAAAAHL4XwA=")</f>
        <v>#VALUE!</v>
      </c>
      <c r="B9" t="e">
        <f>AND(Sheet1!I70,"AAAAAHL4XwE=")</f>
        <v>#VALUE!</v>
      </c>
      <c r="C9" t="e">
        <f>AND(Sheet1!J70,"AAAAAHL4XwI=")</f>
        <v>#VALUE!</v>
      </c>
      <c r="D9" t="e">
        <f>AND(Sheet1!K70,"AAAAAHL4XwM=")</f>
        <v>#VALUE!</v>
      </c>
      <c r="E9" t="e">
        <f>AND(Sheet1!L70,"AAAAAHL4XwQ=")</f>
        <v>#VALUE!</v>
      </c>
      <c r="F9" t="e">
        <f>AND(Sheet1!M70,"AAAAAHL4XwU=")</f>
        <v>#VALUE!</v>
      </c>
      <c r="G9" t="e">
        <f>AND(Sheet1!N70,"AAAAAHL4XwY=")</f>
        <v>#VALUE!</v>
      </c>
      <c r="H9" t="e">
        <f>AND(Sheet1!O70,"AAAAAHL4Xwc=")</f>
        <v>#VALUE!</v>
      </c>
      <c r="I9" t="e">
        <f>AND(Sheet1!P70,"AAAAAHL4Xwg=")</f>
        <v>#VALUE!</v>
      </c>
      <c r="J9" t="e">
        <f>AND(Sheet1!Q70,"AAAAAHL4Xwk=")</f>
        <v>#VALUE!</v>
      </c>
      <c r="K9" t="e">
        <f>AND(Sheet1!R70,"AAAAAHL4Xwo=")</f>
        <v>#VALUE!</v>
      </c>
      <c r="L9" t="e">
        <f>AND(Sheet1!S70,"AAAAAHL4Xws=")</f>
        <v>#VALUE!</v>
      </c>
      <c r="M9" t="e">
        <f>AND(Sheet1!T70,"AAAAAHL4Xww=")</f>
        <v>#VALUE!</v>
      </c>
      <c r="N9" t="e">
        <f>AND(Sheet1!U70,"AAAAAHL4Xw0=")</f>
        <v>#VALUE!</v>
      </c>
      <c r="O9" t="e">
        <f>AND(Sheet1!V70,"AAAAAHL4Xw4=")</f>
        <v>#VALUE!</v>
      </c>
      <c r="P9" t="e">
        <f>AND(Sheet1!W70,"AAAAAHL4Xw8=")</f>
        <v>#VALUE!</v>
      </c>
      <c r="Q9" t="e">
        <f>AND(Sheet1!X70,"AAAAAHL4XxA=")</f>
        <v>#VALUE!</v>
      </c>
      <c r="R9" t="e">
        <f>AND(Sheet1!Y70,"AAAAAHL4XxE=")</f>
        <v>#VALUE!</v>
      </c>
      <c r="S9" t="e">
        <f>AND(Sheet1!Z70,"AAAAAHL4XxI=")</f>
        <v>#VALUE!</v>
      </c>
      <c r="T9" t="e">
        <f>AND(Sheet1!AA70,"AAAAAHL4XxM=")</f>
        <v>#VALUE!</v>
      </c>
      <c r="U9" t="e">
        <f>AND(Sheet1!AB70,"AAAAAHL4XxQ=")</f>
        <v>#VALUE!</v>
      </c>
      <c r="V9">
        <f>IF(Sheet1!71:71,"AAAAAHL4XxU=",0)</f>
        <v>0</v>
      </c>
      <c r="W9" t="e">
        <f>AND(Sheet1!A71,"AAAAAHL4XxY=")</f>
        <v>#VALUE!</v>
      </c>
      <c r="X9" t="e">
        <f>AND(Sheet1!B71,"AAAAAHL4Xxc=")</f>
        <v>#VALUE!</v>
      </c>
      <c r="Y9" t="e">
        <f>AND(Sheet1!C71,"AAAAAHL4Xxg=")</f>
        <v>#VALUE!</v>
      </c>
      <c r="Z9" t="e">
        <f>AND(Sheet1!D71,"AAAAAHL4Xxk=")</f>
        <v>#VALUE!</v>
      </c>
      <c r="AA9" t="e">
        <f>AND(Sheet1!E71,"AAAAAHL4Xxo=")</f>
        <v>#VALUE!</v>
      </c>
      <c r="AB9" t="e">
        <f>AND(Sheet1!F71,"AAAAAHL4Xxs=")</f>
        <v>#VALUE!</v>
      </c>
      <c r="AC9" t="e">
        <f>AND(Sheet1!G71,"AAAAAHL4Xxw=")</f>
        <v>#VALUE!</v>
      </c>
      <c r="AD9" t="e">
        <f>AND(Sheet1!H71,"AAAAAHL4Xx0=")</f>
        <v>#VALUE!</v>
      </c>
      <c r="AE9" t="e">
        <f>AND(Sheet1!I71,"AAAAAHL4Xx4=")</f>
        <v>#VALUE!</v>
      </c>
      <c r="AF9" t="e">
        <f>AND(Sheet1!J71,"AAAAAHL4Xx8=")</f>
        <v>#VALUE!</v>
      </c>
      <c r="AG9" t="e">
        <f>AND(Sheet1!K71,"AAAAAHL4XyA=")</f>
        <v>#VALUE!</v>
      </c>
      <c r="AH9" t="e">
        <f>AND(Sheet1!L71,"AAAAAHL4XyE=")</f>
        <v>#VALUE!</v>
      </c>
      <c r="AI9" t="e">
        <f>AND(Sheet1!M71,"AAAAAHL4XyI=")</f>
        <v>#VALUE!</v>
      </c>
      <c r="AJ9" t="e">
        <f>AND(Sheet1!N71,"AAAAAHL4XyM=")</f>
        <v>#VALUE!</v>
      </c>
      <c r="AK9" t="e">
        <f>AND(Sheet1!O71,"AAAAAHL4XyQ=")</f>
        <v>#VALUE!</v>
      </c>
      <c r="AL9" t="e">
        <f>AND(Sheet1!P71,"AAAAAHL4XyU=")</f>
        <v>#VALUE!</v>
      </c>
      <c r="AM9" t="e">
        <f>AND(Sheet1!Q71,"AAAAAHL4XyY=")</f>
        <v>#VALUE!</v>
      </c>
      <c r="AN9" t="e">
        <f>AND(Sheet1!R71,"AAAAAHL4Xyc=")</f>
        <v>#VALUE!</v>
      </c>
      <c r="AO9" t="e">
        <f>AND(Sheet1!S71,"AAAAAHL4Xyg=")</f>
        <v>#VALUE!</v>
      </c>
      <c r="AP9" t="e">
        <f>AND(Sheet1!T71,"AAAAAHL4Xyk=")</f>
        <v>#VALUE!</v>
      </c>
      <c r="AQ9" t="e">
        <f>AND(Sheet1!U71,"AAAAAHL4Xyo=")</f>
        <v>#VALUE!</v>
      </c>
      <c r="AR9" t="e">
        <f>AND(Sheet1!V71,"AAAAAHL4Xys=")</f>
        <v>#VALUE!</v>
      </c>
      <c r="AS9" t="e">
        <f>AND(Sheet1!W71,"AAAAAHL4Xyw=")</f>
        <v>#VALUE!</v>
      </c>
      <c r="AT9" t="e">
        <f>AND(Sheet1!X71,"AAAAAHL4Xy0=")</f>
        <v>#VALUE!</v>
      </c>
      <c r="AU9" t="e">
        <f>AND(Sheet1!Y71,"AAAAAHL4Xy4=")</f>
        <v>#VALUE!</v>
      </c>
      <c r="AV9" t="e">
        <f>AND(Sheet1!Z71,"AAAAAHL4Xy8=")</f>
        <v>#VALUE!</v>
      </c>
      <c r="AW9" t="e">
        <f>AND(Sheet1!AA71,"AAAAAHL4XzA=")</f>
        <v>#VALUE!</v>
      </c>
      <c r="AX9" t="e">
        <f>AND(Sheet1!AB71,"AAAAAHL4XzE=")</f>
        <v>#VALUE!</v>
      </c>
      <c r="AY9">
        <f>IF(Sheet1!72:72,"AAAAAHL4XzI=",0)</f>
        <v>0</v>
      </c>
      <c r="AZ9" t="e">
        <f>AND(Sheet1!A72,"AAAAAHL4XzM=")</f>
        <v>#VALUE!</v>
      </c>
      <c r="BA9" t="e">
        <f>AND(Sheet1!B72,"AAAAAHL4XzQ=")</f>
        <v>#VALUE!</v>
      </c>
      <c r="BB9" t="e">
        <f>AND(Sheet1!C72,"AAAAAHL4XzU=")</f>
        <v>#VALUE!</v>
      </c>
      <c r="BC9" t="e">
        <f>AND(Sheet1!D72,"AAAAAHL4XzY=")</f>
        <v>#VALUE!</v>
      </c>
      <c r="BD9" t="e">
        <f>AND(Sheet1!E72,"AAAAAHL4Xzc=")</f>
        <v>#VALUE!</v>
      </c>
      <c r="BE9" t="e">
        <f>AND(Sheet1!F72,"AAAAAHL4Xzg=")</f>
        <v>#VALUE!</v>
      </c>
      <c r="BF9" t="e">
        <f>AND(Sheet1!G72,"AAAAAHL4Xzk=")</f>
        <v>#VALUE!</v>
      </c>
      <c r="BG9" t="e">
        <f>AND(Sheet1!H72,"AAAAAHL4Xzo=")</f>
        <v>#VALUE!</v>
      </c>
      <c r="BH9" t="e">
        <f>AND(Sheet1!I72,"AAAAAHL4Xzs=")</f>
        <v>#VALUE!</v>
      </c>
      <c r="BI9" t="e">
        <f>AND(Sheet1!J72,"AAAAAHL4Xzw=")</f>
        <v>#VALUE!</v>
      </c>
      <c r="BJ9" t="e">
        <f>AND(Sheet1!K72,"AAAAAHL4Xz0=")</f>
        <v>#VALUE!</v>
      </c>
      <c r="BK9" t="e">
        <f>AND(Sheet1!L72,"AAAAAHL4Xz4=")</f>
        <v>#VALUE!</v>
      </c>
      <c r="BL9" t="e">
        <f>AND(Sheet1!M72,"AAAAAHL4Xz8=")</f>
        <v>#VALUE!</v>
      </c>
      <c r="BM9" t="e">
        <f>AND(Sheet1!N72,"AAAAAHL4X0A=")</f>
        <v>#VALUE!</v>
      </c>
      <c r="BN9" t="e">
        <f>AND(Sheet1!O72,"AAAAAHL4X0E=")</f>
        <v>#VALUE!</v>
      </c>
      <c r="BO9" t="e">
        <f>AND(Sheet1!P72,"AAAAAHL4X0I=")</f>
        <v>#VALUE!</v>
      </c>
      <c r="BP9" t="e">
        <f>AND(Sheet1!Q72,"AAAAAHL4X0M=")</f>
        <v>#VALUE!</v>
      </c>
      <c r="BQ9" t="e">
        <f>AND(Sheet1!R72,"AAAAAHL4X0Q=")</f>
        <v>#VALUE!</v>
      </c>
      <c r="BR9" t="e">
        <f>AND(Sheet1!S72,"AAAAAHL4X0U=")</f>
        <v>#VALUE!</v>
      </c>
      <c r="BS9" t="e">
        <f>AND(Sheet1!T72,"AAAAAHL4X0Y=")</f>
        <v>#VALUE!</v>
      </c>
      <c r="BT9" t="e">
        <f>AND(Sheet1!U72,"AAAAAHL4X0c=")</f>
        <v>#VALUE!</v>
      </c>
      <c r="BU9" t="e">
        <f>AND(Sheet1!V72,"AAAAAHL4X0g=")</f>
        <v>#VALUE!</v>
      </c>
      <c r="BV9" t="e">
        <f>AND(Sheet1!W72,"AAAAAHL4X0k=")</f>
        <v>#VALUE!</v>
      </c>
      <c r="BW9" t="e">
        <f>AND(Sheet1!X72,"AAAAAHL4X0o=")</f>
        <v>#VALUE!</v>
      </c>
      <c r="BX9" t="e">
        <f>AND(Sheet1!Y72,"AAAAAHL4X0s=")</f>
        <v>#VALUE!</v>
      </c>
      <c r="BY9" t="e">
        <f>AND(Sheet1!Z72,"AAAAAHL4X0w=")</f>
        <v>#VALUE!</v>
      </c>
      <c r="BZ9" t="e">
        <f>AND(Sheet1!AA72,"AAAAAHL4X00=")</f>
        <v>#VALUE!</v>
      </c>
      <c r="CA9" t="e">
        <f>AND(Sheet1!AB72,"AAAAAHL4X04=")</f>
        <v>#VALUE!</v>
      </c>
      <c r="CB9">
        <f>IF(Sheet1!73:73,"AAAAAHL4X08=",0)</f>
        <v>0</v>
      </c>
      <c r="CC9" t="e">
        <f>AND(Sheet1!A73,"AAAAAHL4X1A=")</f>
        <v>#VALUE!</v>
      </c>
      <c r="CD9" t="e">
        <f>AND(Sheet1!B73,"AAAAAHL4X1E=")</f>
        <v>#VALUE!</v>
      </c>
      <c r="CE9" t="e">
        <f>AND(Sheet1!C73,"AAAAAHL4X1I=")</f>
        <v>#VALUE!</v>
      </c>
      <c r="CF9" t="e">
        <f>AND(Sheet1!D73,"AAAAAHL4X1M=")</f>
        <v>#VALUE!</v>
      </c>
      <c r="CG9" t="e">
        <f>AND(Sheet1!E73,"AAAAAHL4X1Q=")</f>
        <v>#VALUE!</v>
      </c>
      <c r="CH9" t="e">
        <f>AND(Sheet1!F73,"AAAAAHL4X1U=")</f>
        <v>#VALUE!</v>
      </c>
      <c r="CI9" t="e">
        <f>AND(Sheet1!G73,"AAAAAHL4X1Y=")</f>
        <v>#VALUE!</v>
      </c>
      <c r="CJ9" t="e">
        <f>AND(Sheet1!H73,"AAAAAHL4X1c=")</f>
        <v>#VALUE!</v>
      </c>
      <c r="CK9" t="e">
        <f>AND(Sheet1!I73,"AAAAAHL4X1g=")</f>
        <v>#VALUE!</v>
      </c>
      <c r="CL9" t="e">
        <f>AND(Sheet1!J73,"AAAAAHL4X1k=")</f>
        <v>#VALUE!</v>
      </c>
      <c r="CM9" t="e">
        <f>AND(Sheet1!K73,"AAAAAHL4X1o=")</f>
        <v>#VALUE!</v>
      </c>
      <c r="CN9" t="e">
        <f>AND(Sheet1!L73,"AAAAAHL4X1s=")</f>
        <v>#VALUE!</v>
      </c>
      <c r="CO9" t="e">
        <f>AND(Sheet1!M73,"AAAAAHL4X1w=")</f>
        <v>#VALUE!</v>
      </c>
      <c r="CP9" t="e">
        <f>AND(Sheet1!N73,"AAAAAHL4X10=")</f>
        <v>#VALUE!</v>
      </c>
      <c r="CQ9" t="e">
        <f>AND(Sheet1!O73,"AAAAAHL4X14=")</f>
        <v>#VALUE!</v>
      </c>
      <c r="CR9" t="e">
        <f>AND(Sheet1!P73,"AAAAAHL4X18=")</f>
        <v>#VALUE!</v>
      </c>
      <c r="CS9" t="e">
        <f>AND(Sheet1!Q73,"AAAAAHL4X2A=")</f>
        <v>#VALUE!</v>
      </c>
      <c r="CT9" t="e">
        <f>AND(Sheet1!R73,"AAAAAHL4X2E=")</f>
        <v>#VALUE!</v>
      </c>
      <c r="CU9" t="e">
        <f>AND(Sheet1!S73,"AAAAAHL4X2I=")</f>
        <v>#VALUE!</v>
      </c>
      <c r="CV9" t="e">
        <f>AND(Sheet1!T73,"AAAAAHL4X2M=")</f>
        <v>#VALUE!</v>
      </c>
      <c r="CW9" t="e">
        <f>AND(Sheet1!U73,"AAAAAHL4X2Q=")</f>
        <v>#VALUE!</v>
      </c>
      <c r="CX9" t="e">
        <f>AND(Sheet1!V73,"AAAAAHL4X2U=")</f>
        <v>#VALUE!</v>
      </c>
      <c r="CY9" t="e">
        <f>AND(Sheet1!W73,"AAAAAHL4X2Y=")</f>
        <v>#VALUE!</v>
      </c>
      <c r="CZ9" t="e">
        <f>AND(Sheet1!X73,"AAAAAHL4X2c=")</f>
        <v>#VALUE!</v>
      </c>
      <c r="DA9" t="e">
        <f>AND(Sheet1!Y73,"AAAAAHL4X2g=")</f>
        <v>#VALUE!</v>
      </c>
      <c r="DB9" t="e">
        <f>AND(Sheet1!Z73,"AAAAAHL4X2k=")</f>
        <v>#VALUE!</v>
      </c>
      <c r="DC9" t="e">
        <f>AND(Sheet1!AA73,"AAAAAHL4X2o=")</f>
        <v>#VALUE!</v>
      </c>
      <c r="DD9" t="e">
        <f>AND(Sheet1!AB73,"AAAAAHL4X2s=")</f>
        <v>#VALUE!</v>
      </c>
      <c r="DE9">
        <f>IF(Sheet1!74:74,"AAAAAHL4X2w=",0)</f>
        <v>0</v>
      </c>
      <c r="DF9" t="e">
        <f>AND(Sheet1!A74,"AAAAAHL4X20=")</f>
        <v>#VALUE!</v>
      </c>
      <c r="DG9" t="e">
        <f>AND(Sheet1!B74,"AAAAAHL4X24=")</f>
        <v>#VALUE!</v>
      </c>
      <c r="DH9" t="e">
        <f>AND(Sheet1!C74,"AAAAAHL4X28=")</f>
        <v>#VALUE!</v>
      </c>
      <c r="DI9" t="e">
        <f>AND(Sheet1!D74,"AAAAAHL4X3A=")</f>
        <v>#VALUE!</v>
      </c>
      <c r="DJ9" t="e">
        <f>AND(Sheet1!E74,"AAAAAHL4X3E=")</f>
        <v>#VALUE!</v>
      </c>
      <c r="DK9" t="e">
        <f>AND(Sheet1!F74,"AAAAAHL4X3I=")</f>
        <v>#VALUE!</v>
      </c>
      <c r="DL9" t="e">
        <f>AND(Sheet1!G74,"AAAAAHL4X3M=")</f>
        <v>#VALUE!</v>
      </c>
      <c r="DM9" t="e">
        <f>AND(Sheet1!H74,"AAAAAHL4X3Q=")</f>
        <v>#VALUE!</v>
      </c>
      <c r="DN9" t="e">
        <f>AND(Sheet1!I74,"AAAAAHL4X3U=")</f>
        <v>#VALUE!</v>
      </c>
      <c r="DO9" t="e">
        <f>AND(Sheet1!J74,"AAAAAHL4X3Y=")</f>
        <v>#VALUE!</v>
      </c>
      <c r="DP9" t="e">
        <f>AND(Sheet1!K74,"AAAAAHL4X3c=")</f>
        <v>#VALUE!</v>
      </c>
      <c r="DQ9" t="e">
        <f>AND(Sheet1!L74,"AAAAAHL4X3g=")</f>
        <v>#VALUE!</v>
      </c>
      <c r="DR9" t="e">
        <f>AND(Sheet1!M74,"AAAAAHL4X3k=")</f>
        <v>#VALUE!</v>
      </c>
      <c r="DS9" t="e">
        <f>AND(Sheet1!N74,"AAAAAHL4X3o=")</f>
        <v>#VALUE!</v>
      </c>
      <c r="DT9" t="e">
        <f>AND(Sheet1!O74,"AAAAAHL4X3s=")</f>
        <v>#VALUE!</v>
      </c>
      <c r="DU9" t="e">
        <f>AND(Sheet1!P74,"AAAAAHL4X3w=")</f>
        <v>#VALUE!</v>
      </c>
      <c r="DV9" t="e">
        <f>AND(Sheet1!Q74,"AAAAAHL4X30=")</f>
        <v>#VALUE!</v>
      </c>
      <c r="DW9" t="e">
        <f>AND(Sheet1!R74,"AAAAAHL4X34=")</f>
        <v>#VALUE!</v>
      </c>
      <c r="DX9" t="e">
        <f>AND(Sheet1!S74,"AAAAAHL4X38=")</f>
        <v>#VALUE!</v>
      </c>
      <c r="DY9" t="e">
        <f>AND(Sheet1!T74,"AAAAAHL4X4A=")</f>
        <v>#VALUE!</v>
      </c>
      <c r="DZ9" t="e">
        <f>AND(Sheet1!U74,"AAAAAHL4X4E=")</f>
        <v>#VALUE!</v>
      </c>
      <c r="EA9" t="e">
        <f>AND(Sheet1!V74,"AAAAAHL4X4I=")</f>
        <v>#VALUE!</v>
      </c>
      <c r="EB9" t="e">
        <f>AND(Sheet1!W74,"AAAAAHL4X4M=")</f>
        <v>#VALUE!</v>
      </c>
      <c r="EC9" t="e">
        <f>AND(Sheet1!X74,"AAAAAHL4X4Q=")</f>
        <v>#VALUE!</v>
      </c>
      <c r="ED9" t="e">
        <f>AND(Sheet1!Y74,"AAAAAHL4X4U=")</f>
        <v>#VALUE!</v>
      </c>
      <c r="EE9" t="e">
        <f>AND(Sheet1!Z74,"AAAAAHL4X4Y=")</f>
        <v>#VALUE!</v>
      </c>
      <c r="EF9" t="e">
        <f>AND(Sheet1!AA74,"AAAAAHL4X4c=")</f>
        <v>#VALUE!</v>
      </c>
      <c r="EG9" t="e">
        <f>AND(Sheet1!AB74,"AAAAAHL4X4g=")</f>
        <v>#VALUE!</v>
      </c>
      <c r="EH9">
        <f>IF(Sheet1!75:75,"AAAAAHL4X4k=",0)</f>
        <v>0</v>
      </c>
      <c r="EI9" t="e">
        <f>AND(Sheet1!A75,"AAAAAHL4X4o=")</f>
        <v>#VALUE!</v>
      </c>
      <c r="EJ9" t="e">
        <f>AND(Sheet1!B75,"AAAAAHL4X4s=")</f>
        <v>#VALUE!</v>
      </c>
      <c r="EK9" t="e">
        <f>AND(Sheet1!C75,"AAAAAHL4X4w=")</f>
        <v>#VALUE!</v>
      </c>
      <c r="EL9" t="e">
        <f>AND(Sheet1!D75,"AAAAAHL4X40=")</f>
        <v>#VALUE!</v>
      </c>
      <c r="EM9" t="e">
        <f>AND(Sheet1!E75,"AAAAAHL4X44=")</f>
        <v>#VALUE!</v>
      </c>
      <c r="EN9" t="e">
        <f>AND(Sheet1!F75,"AAAAAHL4X48=")</f>
        <v>#VALUE!</v>
      </c>
      <c r="EO9" t="e">
        <f>AND(Sheet1!G75,"AAAAAHL4X5A=")</f>
        <v>#VALUE!</v>
      </c>
      <c r="EP9" t="e">
        <f>AND(Sheet1!H75,"AAAAAHL4X5E=")</f>
        <v>#VALUE!</v>
      </c>
      <c r="EQ9" t="e">
        <f>AND(Sheet1!I75,"AAAAAHL4X5I=")</f>
        <v>#VALUE!</v>
      </c>
      <c r="ER9" t="e">
        <f>AND(Sheet1!J75,"AAAAAHL4X5M=")</f>
        <v>#VALUE!</v>
      </c>
      <c r="ES9" t="e">
        <f>AND(Sheet1!K75,"AAAAAHL4X5Q=")</f>
        <v>#VALUE!</v>
      </c>
      <c r="ET9" t="e">
        <f>AND(Sheet1!L75,"AAAAAHL4X5U=")</f>
        <v>#VALUE!</v>
      </c>
      <c r="EU9" t="e">
        <f>AND(Sheet1!M75,"AAAAAHL4X5Y=")</f>
        <v>#VALUE!</v>
      </c>
      <c r="EV9" t="e">
        <f>AND(Sheet1!N75,"AAAAAHL4X5c=")</f>
        <v>#VALUE!</v>
      </c>
      <c r="EW9" t="e">
        <f>AND(Sheet1!O75,"AAAAAHL4X5g=")</f>
        <v>#VALUE!</v>
      </c>
      <c r="EX9" t="e">
        <f>AND(Sheet1!P75,"AAAAAHL4X5k=")</f>
        <v>#VALUE!</v>
      </c>
      <c r="EY9" t="e">
        <f>AND(Sheet1!Q75,"AAAAAHL4X5o=")</f>
        <v>#VALUE!</v>
      </c>
      <c r="EZ9" t="e">
        <f>AND(Sheet1!R75,"AAAAAHL4X5s=")</f>
        <v>#VALUE!</v>
      </c>
      <c r="FA9" t="e">
        <f>AND(Sheet1!S75,"AAAAAHL4X5w=")</f>
        <v>#VALUE!</v>
      </c>
      <c r="FB9" t="e">
        <f>AND(Sheet1!T75,"AAAAAHL4X50=")</f>
        <v>#VALUE!</v>
      </c>
      <c r="FC9" t="e">
        <f>AND(Sheet1!U75,"AAAAAHL4X54=")</f>
        <v>#VALUE!</v>
      </c>
      <c r="FD9" t="e">
        <f>AND(Sheet1!V75,"AAAAAHL4X58=")</f>
        <v>#VALUE!</v>
      </c>
      <c r="FE9" t="e">
        <f>AND(Sheet1!W75,"AAAAAHL4X6A=")</f>
        <v>#VALUE!</v>
      </c>
      <c r="FF9" t="e">
        <f>AND(Sheet1!X75,"AAAAAHL4X6E=")</f>
        <v>#VALUE!</v>
      </c>
      <c r="FG9" t="e">
        <f>AND(Sheet1!Y75,"AAAAAHL4X6I=")</f>
        <v>#VALUE!</v>
      </c>
      <c r="FH9" t="e">
        <f>AND(Sheet1!Z75,"AAAAAHL4X6M=")</f>
        <v>#VALUE!</v>
      </c>
      <c r="FI9" t="e">
        <f>AND(Sheet1!AA75,"AAAAAHL4X6Q=")</f>
        <v>#VALUE!</v>
      </c>
      <c r="FJ9" t="e">
        <f>AND(Sheet1!AB75,"AAAAAHL4X6U=")</f>
        <v>#VALUE!</v>
      </c>
      <c r="FK9">
        <f>IF(Sheet1!76:76,"AAAAAHL4X6Y=",0)</f>
        <v>0</v>
      </c>
      <c r="FL9" t="e">
        <f>AND(Sheet1!A76,"AAAAAHL4X6c=")</f>
        <v>#VALUE!</v>
      </c>
      <c r="FM9" t="e">
        <f>AND(Sheet1!B76,"AAAAAHL4X6g=")</f>
        <v>#VALUE!</v>
      </c>
      <c r="FN9" t="e">
        <f>AND(Sheet1!C76,"AAAAAHL4X6k=")</f>
        <v>#VALUE!</v>
      </c>
      <c r="FO9" t="e">
        <f>AND(Sheet1!D76,"AAAAAHL4X6o=")</f>
        <v>#VALUE!</v>
      </c>
      <c r="FP9" t="e">
        <f>AND(Sheet1!E76,"AAAAAHL4X6s=")</f>
        <v>#VALUE!</v>
      </c>
      <c r="FQ9" t="e">
        <f>AND(Sheet1!F76,"AAAAAHL4X6w=")</f>
        <v>#VALUE!</v>
      </c>
      <c r="FR9" t="e">
        <f>AND(Sheet1!G76,"AAAAAHL4X60=")</f>
        <v>#VALUE!</v>
      </c>
      <c r="FS9" t="e">
        <f>AND(Sheet1!H76,"AAAAAHL4X64=")</f>
        <v>#VALUE!</v>
      </c>
      <c r="FT9" t="e">
        <f>AND(Sheet1!I76,"AAAAAHL4X68=")</f>
        <v>#VALUE!</v>
      </c>
      <c r="FU9" t="e">
        <f>AND(Sheet1!J76,"AAAAAHL4X7A=")</f>
        <v>#VALUE!</v>
      </c>
      <c r="FV9" t="e">
        <f>AND(Sheet1!K76,"AAAAAHL4X7E=")</f>
        <v>#VALUE!</v>
      </c>
      <c r="FW9" t="e">
        <f>AND(Sheet1!L76,"AAAAAHL4X7I=")</f>
        <v>#VALUE!</v>
      </c>
      <c r="FX9" t="e">
        <f>AND(Sheet1!M76,"AAAAAHL4X7M=")</f>
        <v>#VALUE!</v>
      </c>
      <c r="FY9" t="e">
        <f>AND(Sheet1!N76,"AAAAAHL4X7Q=")</f>
        <v>#VALUE!</v>
      </c>
      <c r="FZ9" t="e">
        <f>AND(Sheet1!O76,"AAAAAHL4X7U=")</f>
        <v>#VALUE!</v>
      </c>
      <c r="GA9" t="e">
        <f>AND(Sheet1!P76,"AAAAAHL4X7Y=")</f>
        <v>#VALUE!</v>
      </c>
      <c r="GB9" t="e">
        <f>AND(Sheet1!Q76,"AAAAAHL4X7c=")</f>
        <v>#VALUE!</v>
      </c>
      <c r="GC9" t="e">
        <f>AND(Sheet1!R76,"AAAAAHL4X7g=")</f>
        <v>#VALUE!</v>
      </c>
      <c r="GD9" t="e">
        <f>AND(Sheet1!S76,"AAAAAHL4X7k=")</f>
        <v>#VALUE!</v>
      </c>
      <c r="GE9" t="e">
        <f>AND(Sheet1!T76,"AAAAAHL4X7o=")</f>
        <v>#VALUE!</v>
      </c>
      <c r="GF9" t="e">
        <f>AND(Sheet1!U76,"AAAAAHL4X7s=")</f>
        <v>#VALUE!</v>
      </c>
      <c r="GG9" t="e">
        <f>AND(Sheet1!V76,"AAAAAHL4X7w=")</f>
        <v>#VALUE!</v>
      </c>
      <c r="GH9" t="e">
        <f>AND(Sheet1!W76,"AAAAAHL4X70=")</f>
        <v>#VALUE!</v>
      </c>
      <c r="GI9" t="e">
        <f>AND(Sheet1!X76,"AAAAAHL4X74=")</f>
        <v>#VALUE!</v>
      </c>
      <c r="GJ9" t="e">
        <f>AND(Sheet1!Y76,"AAAAAHL4X78=")</f>
        <v>#VALUE!</v>
      </c>
      <c r="GK9" t="e">
        <f>AND(Sheet1!Z76,"AAAAAHL4X8A=")</f>
        <v>#VALUE!</v>
      </c>
      <c r="GL9" t="e">
        <f>AND(Sheet1!AA76,"AAAAAHL4X8E=")</f>
        <v>#VALUE!</v>
      </c>
      <c r="GM9" t="e">
        <f>AND(Sheet1!AB76,"AAAAAHL4X8I=")</f>
        <v>#VALUE!</v>
      </c>
      <c r="GN9">
        <f>IF(Sheet1!77:77,"AAAAAHL4X8M=",0)</f>
        <v>0</v>
      </c>
      <c r="GO9" t="e">
        <f>AND(Sheet1!A77,"AAAAAHL4X8Q=")</f>
        <v>#VALUE!</v>
      </c>
      <c r="GP9" t="e">
        <f>AND(Sheet1!B77,"AAAAAHL4X8U=")</f>
        <v>#VALUE!</v>
      </c>
      <c r="GQ9" t="e">
        <f>AND(Sheet1!C77,"AAAAAHL4X8Y=")</f>
        <v>#VALUE!</v>
      </c>
      <c r="GR9" t="e">
        <f>AND(Sheet1!D77,"AAAAAHL4X8c=")</f>
        <v>#VALUE!</v>
      </c>
      <c r="GS9" t="e">
        <f>AND(Sheet1!E77,"AAAAAHL4X8g=")</f>
        <v>#VALUE!</v>
      </c>
      <c r="GT9" t="e">
        <f>AND(Sheet1!F77,"AAAAAHL4X8k=")</f>
        <v>#VALUE!</v>
      </c>
      <c r="GU9" t="e">
        <f>AND(Sheet1!G77,"AAAAAHL4X8o=")</f>
        <v>#VALUE!</v>
      </c>
      <c r="GV9" t="e">
        <f>AND(Sheet1!H77,"AAAAAHL4X8s=")</f>
        <v>#VALUE!</v>
      </c>
      <c r="GW9" t="e">
        <f>AND(Sheet1!I77,"AAAAAHL4X8w=")</f>
        <v>#VALUE!</v>
      </c>
      <c r="GX9" t="e">
        <f>AND(Sheet1!J77,"AAAAAHL4X80=")</f>
        <v>#VALUE!</v>
      </c>
      <c r="GY9" t="e">
        <f>AND(Sheet1!K77,"AAAAAHL4X84=")</f>
        <v>#VALUE!</v>
      </c>
      <c r="GZ9" t="e">
        <f>AND(Sheet1!L77,"AAAAAHL4X88=")</f>
        <v>#VALUE!</v>
      </c>
      <c r="HA9" t="e">
        <f>AND(Sheet1!M77,"AAAAAHL4X9A=")</f>
        <v>#VALUE!</v>
      </c>
      <c r="HB9" t="e">
        <f>AND(Sheet1!N77,"AAAAAHL4X9E=")</f>
        <v>#VALUE!</v>
      </c>
      <c r="HC9" t="e">
        <f>AND(Sheet1!O77,"AAAAAHL4X9I=")</f>
        <v>#VALUE!</v>
      </c>
      <c r="HD9" t="e">
        <f>AND(Sheet1!P77,"AAAAAHL4X9M=")</f>
        <v>#VALUE!</v>
      </c>
      <c r="HE9" t="e">
        <f>AND(Sheet1!Q77,"AAAAAHL4X9Q=")</f>
        <v>#VALUE!</v>
      </c>
      <c r="HF9" t="e">
        <f>AND(Sheet1!R77,"AAAAAHL4X9U=")</f>
        <v>#VALUE!</v>
      </c>
      <c r="HG9" t="e">
        <f>AND(Sheet1!S77,"AAAAAHL4X9Y=")</f>
        <v>#VALUE!</v>
      </c>
      <c r="HH9" t="e">
        <f>AND(Sheet1!T77,"AAAAAHL4X9c=")</f>
        <v>#VALUE!</v>
      </c>
      <c r="HI9" t="e">
        <f>AND(Sheet1!U77,"AAAAAHL4X9g=")</f>
        <v>#VALUE!</v>
      </c>
      <c r="HJ9" t="e">
        <f>AND(Sheet1!V77,"AAAAAHL4X9k=")</f>
        <v>#VALUE!</v>
      </c>
      <c r="HK9" t="e">
        <f>AND(Sheet1!W77,"AAAAAHL4X9o=")</f>
        <v>#VALUE!</v>
      </c>
      <c r="HL9" t="e">
        <f>AND(Sheet1!X77,"AAAAAHL4X9s=")</f>
        <v>#VALUE!</v>
      </c>
      <c r="HM9" t="e">
        <f>AND(Sheet1!Y77,"AAAAAHL4X9w=")</f>
        <v>#VALUE!</v>
      </c>
      <c r="HN9" t="e">
        <f>AND(Sheet1!Z77,"AAAAAHL4X90=")</f>
        <v>#VALUE!</v>
      </c>
      <c r="HO9" t="e">
        <f>AND(Sheet1!AA77,"AAAAAHL4X94=")</f>
        <v>#VALUE!</v>
      </c>
      <c r="HP9" t="e">
        <f>AND(Sheet1!AB77,"AAAAAHL4X98=")</f>
        <v>#VALUE!</v>
      </c>
      <c r="HQ9">
        <f>IF(Sheet1!78:78,"AAAAAHL4X+A=",0)</f>
        <v>0</v>
      </c>
      <c r="HR9" t="e">
        <f>AND(Sheet1!A78,"AAAAAHL4X+E=")</f>
        <v>#VALUE!</v>
      </c>
      <c r="HS9" t="e">
        <f>AND(Sheet1!B78,"AAAAAHL4X+I=")</f>
        <v>#VALUE!</v>
      </c>
      <c r="HT9" t="e">
        <f>AND(Sheet1!C78,"AAAAAHL4X+M=")</f>
        <v>#VALUE!</v>
      </c>
      <c r="HU9" t="e">
        <f>AND(Sheet1!D78,"AAAAAHL4X+Q=")</f>
        <v>#VALUE!</v>
      </c>
      <c r="HV9" t="e">
        <f>AND(Sheet1!E78,"AAAAAHL4X+U=")</f>
        <v>#VALUE!</v>
      </c>
      <c r="HW9" t="e">
        <f>AND(Sheet1!F78,"AAAAAHL4X+Y=")</f>
        <v>#VALUE!</v>
      </c>
      <c r="HX9" t="e">
        <f>AND(Sheet1!G78,"AAAAAHL4X+c=")</f>
        <v>#VALUE!</v>
      </c>
      <c r="HY9" t="e">
        <f>AND(Sheet1!H78,"AAAAAHL4X+g=")</f>
        <v>#VALUE!</v>
      </c>
      <c r="HZ9" t="e">
        <f>AND(Sheet1!I78,"AAAAAHL4X+k=")</f>
        <v>#VALUE!</v>
      </c>
      <c r="IA9" t="e">
        <f>AND(Sheet1!J78,"AAAAAHL4X+o=")</f>
        <v>#VALUE!</v>
      </c>
      <c r="IB9" t="e">
        <f>AND(Sheet1!K78,"AAAAAHL4X+s=")</f>
        <v>#VALUE!</v>
      </c>
      <c r="IC9" t="e">
        <f>AND(Sheet1!L78,"AAAAAHL4X+w=")</f>
        <v>#VALUE!</v>
      </c>
      <c r="ID9" t="e">
        <f>AND(Sheet1!M78,"AAAAAHL4X+0=")</f>
        <v>#VALUE!</v>
      </c>
      <c r="IE9" t="e">
        <f>AND(Sheet1!N78,"AAAAAHL4X+4=")</f>
        <v>#VALUE!</v>
      </c>
      <c r="IF9" t="e">
        <f>AND(Sheet1!O78,"AAAAAHL4X+8=")</f>
        <v>#VALUE!</v>
      </c>
      <c r="IG9" t="e">
        <f>AND(Sheet1!P78,"AAAAAHL4X/A=")</f>
        <v>#VALUE!</v>
      </c>
      <c r="IH9" t="e">
        <f>AND(Sheet1!Q78,"AAAAAHL4X/E=")</f>
        <v>#VALUE!</v>
      </c>
      <c r="II9" t="e">
        <f>AND(Sheet1!R78,"AAAAAHL4X/I=")</f>
        <v>#VALUE!</v>
      </c>
      <c r="IJ9" t="e">
        <f>AND(Sheet1!S78,"AAAAAHL4X/M=")</f>
        <v>#VALUE!</v>
      </c>
      <c r="IK9" t="e">
        <f>AND(Sheet1!T78,"AAAAAHL4X/Q=")</f>
        <v>#VALUE!</v>
      </c>
      <c r="IL9" t="e">
        <f>AND(Sheet1!U78,"AAAAAHL4X/U=")</f>
        <v>#VALUE!</v>
      </c>
      <c r="IM9" t="e">
        <f>AND(Sheet1!V78,"AAAAAHL4X/Y=")</f>
        <v>#VALUE!</v>
      </c>
      <c r="IN9" t="e">
        <f>AND(Sheet1!W78,"AAAAAHL4X/c=")</f>
        <v>#VALUE!</v>
      </c>
      <c r="IO9" t="e">
        <f>AND(Sheet1!X78,"AAAAAHL4X/g=")</f>
        <v>#VALUE!</v>
      </c>
      <c r="IP9" t="e">
        <f>AND(Sheet1!Y78,"AAAAAHL4X/k=")</f>
        <v>#VALUE!</v>
      </c>
      <c r="IQ9" t="e">
        <f>AND(Sheet1!Z78,"AAAAAHL4X/o=")</f>
        <v>#VALUE!</v>
      </c>
      <c r="IR9" t="e">
        <f>AND(Sheet1!AA78,"AAAAAHL4X/s=")</f>
        <v>#VALUE!</v>
      </c>
      <c r="IS9" t="e">
        <f>AND(Sheet1!AB78,"AAAAAHL4X/w=")</f>
        <v>#VALUE!</v>
      </c>
      <c r="IT9">
        <f>IF(Sheet1!79:79,"AAAAAHL4X/0=",0)</f>
        <v>0</v>
      </c>
      <c r="IU9" t="e">
        <f>AND(Sheet1!A79,"AAAAAHL4X/4=")</f>
        <v>#VALUE!</v>
      </c>
      <c r="IV9" t="e">
        <f>AND(Sheet1!B79,"AAAAAHL4X/8=")</f>
        <v>#VALUE!</v>
      </c>
    </row>
    <row r="10" spans="1:256" ht="12.75">
      <c r="A10" t="e">
        <f>AND(Sheet1!C79,"AAAAAH7/dQA=")</f>
        <v>#VALUE!</v>
      </c>
      <c r="B10" t="e">
        <f>AND(Sheet1!D79,"AAAAAH7/dQE=")</f>
        <v>#VALUE!</v>
      </c>
      <c r="C10" t="e">
        <f>AND(Sheet1!E79,"AAAAAH7/dQI=")</f>
        <v>#VALUE!</v>
      </c>
      <c r="D10" t="e">
        <f>AND(Sheet1!F79,"AAAAAH7/dQM=")</f>
        <v>#VALUE!</v>
      </c>
      <c r="E10" t="e">
        <f>AND(Sheet1!G79,"AAAAAH7/dQQ=")</f>
        <v>#VALUE!</v>
      </c>
      <c r="F10" t="e">
        <f>AND(Sheet1!H79,"AAAAAH7/dQU=")</f>
        <v>#VALUE!</v>
      </c>
      <c r="G10" t="e">
        <f>AND(Sheet1!I79,"AAAAAH7/dQY=")</f>
        <v>#VALUE!</v>
      </c>
      <c r="H10" t="e">
        <f>AND(Sheet1!J79,"AAAAAH7/dQc=")</f>
        <v>#VALUE!</v>
      </c>
      <c r="I10" t="e">
        <f>AND(Sheet1!K79,"AAAAAH7/dQg=")</f>
        <v>#VALUE!</v>
      </c>
      <c r="J10" t="e">
        <f>AND(Sheet1!L79,"AAAAAH7/dQk=")</f>
        <v>#VALUE!</v>
      </c>
      <c r="K10" t="e">
        <f>AND(Sheet1!M79,"AAAAAH7/dQo=")</f>
        <v>#VALUE!</v>
      </c>
      <c r="L10" t="e">
        <f>AND(Sheet1!N79,"AAAAAH7/dQs=")</f>
        <v>#VALUE!</v>
      </c>
      <c r="M10" t="e">
        <f>AND(Sheet1!O79,"AAAAAH7/dQw=")</f>
        <v>#VALUE!</v>
      </c>
      <c r="N10" t="e">
        <f>AND(Sheet1!P79,"AAAAAH7/dQ0=")</f>
        <v>#VALUE!</v>
      </c>
      <c r="O10" t="e">
        <f>AND(Sheet1!Q79,"AAAAAH7/dQ4=")</f>
        <v>#VALUE!</v>
      </c>
      <c r="P10" t="e">
        <f>AND(Sheet1!R79,"AAAAAH7/dQ8=")</f>
        <v>#VALUE!</v>
      </c>
      <c r="Q10" t="e">
        <f>AND(Sheet1!S79,"AAAAAH7/dRA=")</f>
        <v>#VALUE!</v>
      </c>
      <c r="R10" t="e">
        <f>AND(Sheet1!T79,"AAAAAH7/dRE=")</f>
        <v>#VALUE!</v>
      </c>
      <c r="S10" t="e">
        <f>AND(Sheet1!U79,"AAAAAH7/dRI=")</f>
        <v>#VALUE!</v>
      </c>
      <c r="T10" t="e">
        <f>AND(Sheet1!V79,"AAAAAH7/dRM=")</f>
        <v>#VALUE!</v>
      </c>
      <c r="U10" t="e">
        <f>AND(Sheet1!W79,"AAAAAH7/dRQ=")</f>
        <v>#VALUE!</v>
      </c>
      <c r="V10" t="e">
        <f>AND(Sheet1!X79,"AAAAAH7/dRU=")</f>
        <v>#VALUE!</v>
      </c>
      <c r="W10" t="e">
        <f>AND(Sheet1!Y79,"AAAAAH7/dRY=")</f>
        <v>#VALUE!</v>
      </c>
      <c r="X10" t="e">
        <f>AND(Sheet1!Z79,"AAAAAH7/dRc=")</f>
        <v>#VALUE!</v>
      </c>
      <c r="Y10" t="e">
        <f>AND(Sheet1!AA79,"AAAAAH7/dRg=")</f>
        <v>#VALUE!</v>
      </c>
      <c r="Z10" t="e">
        <f>AND(Sheet1!AB79,"AAAAAH7/dRk=")</f>
        <v>#VALUE!</v>
      </c>
      <c r="AA10">
        <f>IF(Sheet1!80:80,"AAAAAH7/dRo=",0)</f>
        <v>0</v>
      </c>
      <c r="AB10" t="e">
        <f>AND(Sheet1!A80,"AAAAAH7/dRs=")</f>
        <v>#VALUE!</v>
      </c>
      <c r="AC10" t="e">
        <f>AND(Sheet1!B80,"AAAAAH7/dRw=")</f>
        <v>#VALUE!</v>
      </c>
      <c r="AD10" t="e">
        <f>AND(Sheet1!C80,"AAAAAH7/dR0=")</f>
        <v>#VALUE!</v>
      </c>
      <c r="AE10" t="e">
        <f>AND(Sheet1!D80,"AAAAAH7/dR4=")</f>
        <v>#VALUE!</v>
      </c>
      <c r="AF10" t="e">
        <f>AND(Sheet1!E80,"AAAAAH7/dR8=")</f>
        <v>#VALUE!</v>
      </c>
      <c r="AG10" t="e">
        <f>AND(Sheet1!F80,"AAAAAH7/dSA=")</f>
        <v>#VALUE!</v>
      </c>
      <c r="AH10" t="e">
        <f>AND(Sheet1!G80,"AAAAAH7/dSE=")</f>
        <v>#VALUE!</v>
      </c>
      <c r="AI10" t="e">
        <f>AND(Sheet1!H80,"AAAAAH7/dSI=")</f>
        <v>#VALUE!</v>
      </c>
      <c r="AJ10" t="e">
        <f>AND(Sheet1!I80,"AAAAAH7/dSM=")</f>
        <v>#VALUE!</v>
      </c>
      <c r="AK10" t="e">
        <f>AND(Sheet1!J80,"AAAAAH7/dSQ=")</f>
        <v>#VALUE!</v>
      </c>
      <c r="AL10" t="e">
        <f>AND(Sheet1!K80,"AAAAAH7/dSU=")</f>
        <v>#VALUE!</v>
      </c>
      <c r="AM10" t="e">
        <f>AND(Sheet1!L80,"AAAAAH7/dSY=")</f>
        <v>#VALUE!</v>
      </c>
      <c r="AN10" t="e">
        <f>AND(Sheet1!M80,"AAAAAH7/dSc=")</f>
        <v>#VALUE!</v>
      </c>
      <c r="AO10" t="e">
        <f>AND(Sheet1!N80,"AAAAAH7/dSg=")</f>
        <v>#VALUE!</v>
      </c>
      <c r="AP10" t="e">
        <f>AND(Sheet1!O80,"AAAAAH7/dSk=")</f>
        <v>#VALUE!</v>
      </c>
      <c r="AQ10" t="e">
        <f>AND(Sheet1!P80,"AAAAAH7/dSo=")</f>
        <v>#VALUE!</v>
      </c>
      <c r="AR10" t="e">
        <f>AND(Sheet1!Q80,"AAAAAH7/dSs=")</f>
        <v>#VALUE!</v>
      </c>
      <c r="AS10" t="e">
        <f>AND(Sheet1!R80,"AAAAAH7/dSw=")</f>
        <v>#VALUE!</v>
      </c>
      <c r="AT10" t="e">
        <f>AND(Sheet1!S80,"AAAAAH7/dS0=")</f>
        <v>#VALUE!</v>
      </c>
      <c r="AU10" t="e">
        <f>AND(Sheet1!T80,"AAAAAH7/dS4=")</f>
        <v>#VALUE!</v>
      </c>
      <c r="AV10" t="e">
        <f>AND(Sheet1!U80,"AAAAAH7/dS8=")</f>
        <v>#VALUE!</v>
      </c>
      <c r="AW10" t="e">
        <f>AND(Sheet1!V80,"AAAAAH7/dTA=")</f>
        <v>#VALUE!</v>
      </c>
      <c r="AX10" t="e">
        <f>AND(Sheet1!W80,"AAAAAH7/dTE=")</f>
        <v>#VALUE!</v>
      </c>
      <c r="AY10" t="e">
        <f>AND(Sheet1!X80,"AAAAAH7/dTI=")</f>
        <v>#VALUE!</v>
      </c>
      <c r="AZ10" t="e">
        <f>AND(Sheet1!Y80,"AAAAAH7/dTM=")</f>
        <v>#VALUE!</v>
      </c>
      <c r="BA10" t="e">
        <f>AND(Sheet1!Z80,"AAAAAH7/dTQ=")</f>
        <v>#VALUE!</v>
      </c>
      <c r="BB10" t="e">
        <f>AND(Sheet1!AA80,"AAAAAH7/dTU=")</f>
        <v>#VALUE!</v>
      </c>
      <c r="BC10" t="e">
        <f>AND(Sheet1!AB80,"AAAAAH7/dTY=")</f>
        <v>#VALUE!</v>
      </c>
      <c r="BD10">
        <f>IF(Sheet1!81:81,"AAAAAH7/dTc=",0)</f>
        <v>0</v>
      </c>
      <c r="BE10" t="e">
        <f>AND(Sheet1!A81,"AAAAAH7/dTg=")</f>
        <v>#VALUE!</v>
      </c>
      <c r="BF10" t="e">
        <f>AND(Sheet1!B81,"AAAAAH7/dTk=")</f>
        <v>#VALUE!</v>
      </c>
      <c r="BG10" t="e">
        <f>AND(Sheet1!C81,"AAAAAH7/dTo=")</f>
        <v>#VALUE!</v>
      </c>
      <c r="BH10" t="e">
        <f>AND(Sheet1!D81,"AAAAAH7/dTs=")</f>
        <v>#VALUE!</v>
      </c>
      <c r="BI10" t="e">
        <f>AND(Sheet1!E81,"AAAAAH7/dTw=")</f>
        <v>#VALUE!</v>
      </c>
      <c r="BJ10" t="e">
        <f>AND(Sheet1!F81,"AAAAAH7/dT0=")</f>
        <v>#VALUE!</v>
      </c>
      <c r="BK10" t="e">
        <f>AND(Sheet1!G81,"AAAAAH7/dT4=")</f>
        <v>#VALUE!</v>
      </c>
      <c r="BL10" t="e">
        <f>AND(Sheet1!H81,"AAAAAH7/dT8=")</f>
        <v>#VALUE!</v>
      </c>
      <c r="BM10" t="e">
        <f>AND(Sheet1!I81,"AAAAAH7/dUA=")</f>
        <v>#VALUE!</v>
      </c>
      <c r="BN10" t="e">
        <f>AND(Sheet1!J81,"AAAAAH7/dUE=")</f>
        <v>#VALUE!</v>
      </c>
      <c r="BO10" t="e">
        <f>AND(Sheet1!K81,"AAAAAH7/dUI=")</f>
        <v>#VALUE!</v>
      </c>
      <c r="BP10" t="e">
        <f>AND(Sheet1!L81,"AAAAAH7/dUM=")</f>
        <v>#VALUE!</v>
      </c>
      <c r="BQ10" t="e">
        <f>AND(Sheet1!M81,"AAAAAH7/dUQ=")</f>
        <v>#VALUE!</v>
      </c>
      <c r="BR10" t="e">
        <f>AND(Sheet1!N81,"AAAAAH7/dUU=")</f>
        <v>#VALUE!</v>
      </c>
      <c r="BS10" t="e">
        <f>AND(Sheet1!O81,"AAAAAH7/dUY=")</f>
        <v>#VALUE!</v>
      </c>
      <c r="BT10" t="e">
        <f>AND(Sheet1!P81,"AAAAAH7/dUc=")</f>
        <v>#VALUE!</v>
      </c>
      <c r="BU10" t="e">
        <f>AND(Sheet1!Q81,"AAAAAH7/dUg=")</f>
        <v>#VALUE!</v>
      </c>
      <c r="BV10" t="e">
        <f>AND(Sheet1!R81,"AAAAAH7/dUk=")</f>
        <v>#VALUE!</v>
      </c>
      <c r="BW10" t="e">
        <f>AND(Sheet1!S81,"AAAAAH7/dUo=")</f>
        <v>#VALUE!</v>
      </c>
      <c r="BX10" t="e">
        <f>AND(Sheet1!T81,"AAAAAH7/dUs=")</f>
        <v>#VALUE!</v>
      </c>
      <c r="BY10" t="e">
        <f>AND(Sheet1!U81,"AAAAAH7/dUw=")</f>
        <v>#VALUE!</v>
      </c>
      <c r="BZ10" t="e">
        <f>AND(Sheet1!V81,"AAAAAH7/dU0=")</f>
        <v>#VALUE!</v>
      </c>
      <c r="CA10" t="e">
        <f>AND(Sheet1!W81,"AAAAAH7/dU4=")</f>
        <v>#VALUE!</v>
      </c>
      <c r="CB10" t="e">
        <f>AND(Sheet1!X81,"AAAAAH7/dU8=")</f>
        <v>#VALUE!</v>
      </c>
      <c r="CC10" t="e">
        <f>AND(Sheet1!Y81,"AAAAAH7/dVA=")</f>
        <v>#VALUE!</v>
      </c>
      <c r="CD10" t="e">
        <f>AND(Sheet1!Z81,"AAAAAH7/dVE=")</f>
        <v>#VALUE!</v>
      </c>
      <c r="CE10" t="e">
        <f>AND(Sheet1!AA81,"AAAAAH7/dVI=")</f>
        <v>#VALUE!</v>
      </c>
      <c r="CF10" t="e">
        <f>AND(Sheet1!AB81,"AAAAAH7/dVM=")</f>
        <v>#VALUE!</v>
      </c>
      <c r="CG10">
        <f>IF(Sheet1!82:82,"AAAAAH7/dVQ=",0)</f>
        <v>0</v>
      </c>
      <c r="CH10" t="e">
        <f>AND(Sheet1!A82,"AAAAAH7/dVU=")</f>
        <v>#VALUE!</v>
      </c>
      <c r="CI10" t="e">
        <f>AND(Sheet1!B82,"AAAAAH7/dVY=")</f>
        <v>#VALUE!</v>
      </c>
      <c r="CJ10" t="e">
        <f>AND(Sheet1!C82,"AAAAAH7/dVc=")</f>
        <v>#VALUE!</v>
      </c>
      <c r="CK10" t="e">
        <f>AND(Sheet1!D82,"AAAAAH7/dVg=")</f>
        <v>#VALUE!</v>
      </c>
      <c r="CL10" t="e">
        <f>AND(Sheet1!E82,"AAAAAH7/dVk=")</f>
        <v>#VALUE!</v>
      </c>
      <c r="CM10" t="e">
        <f>AND(Sheet1!F82,"AAAAAH7/dVo=")</f>
        <v>#VALUE!</v>
      </c>
      <c r="CN10" t="e">
        <f>AND(Sheet1!G82,"AAAAAH7/dVs=")</f>
        <v>#VALUE!</v>
      </c>
      <c r="CO10" t="e">
        <f>AND(Sheet1!H82,"AAAAAH7/dVw=")</f>
        <v>#VALUE!</v>
      </c>
      <c r="CP10" t="e">
        <f>AND(Sheet1!I82,"AAAAAH7/dV0=")</f>
        <v>#VALUE!</v>
      </c>
      <c r="CQ10" t="e">
        <f>AND(Sheet1!J82,"AAAAAH7/dV4=")</f>
        <v>#VALUE!</v>
      </c>
      <c r="CR10" t="e">
        <f>AND(Sheet1!K82,"AAAAAH7/dV8=")</f>
        <v>#VALUE!</v>
      </c>
      <c r="CS10" t="e">
        <f>AND(Sheet1!L82,"AAAAAH7/dWA=")</f>
        <v>#VALUE!</v>
      </c>
      <c r="CT10" t="e">
        <f>AND(Sheet1!M82,"AAAAAH7/dWE=")</f>
        <v>#VALUE!</v>
      </c>
      <c r="CU10" t="e">
        <f>AND(Sheet1!N82,"AAAAAH7/dWI=")</f>
        <v>#VALUE!</v>
      </c>
      <c r="CV10" t="e">
        <f>AND(Sheet1!O82,"AAAAAH7/dWM=")</f>
        <v>#VALUE!</v>
      </c>
      <c r="CW10" t="e">
        <f>AND(Sheet1!P82,"AAAAAH7/dWQ=")</f>
        <v>#VALUE!</v>
      </c>
      <c r="CX10" t="e">
        <f>AND(Sheet1!Q82,"AAAAAH7/dWU=")</f>
        <v>#VALUE!</v>
      </c>
      <c r="CY10" t="e">
        <f>AND(Sheet1!R82,"AAAAAH7/dWY=")</f>
        <v>#VALUE!</v>
      </c>
      <c r="CZ10" t="e">
        <f>AND(Sheet1!S82,"AAAAAH7/dWc=")</f>
        <v>#VALUE!</v>
      </c>
      <c r="DA10" t="e">
        <f>AND(Sheet1!T82,"AAAAAH7/dWg=")</f>
        <v>#VALUE!</v>
      </c>
      <c r="DB10" t="e">
        <f>AND(Sheet1!U82,"AAAAAH7/dWk=")</f>
        <v>#VALUE!</v>
      </c>
      <c r="DC10" t="e">
        <f>AND(Sheet1!V82,"AAAAAH7/dWo=")</f>
        <v>#VALUE!</v>
      </c>
      <c r="DD10" t="e">
        <f>AND(Sheet1!W82,"AAAAAH7/dWs=")</f>
        <v>#VALUE!</v>
      </c>
      <c r="DE10" t="e">
        <f>AND(Sheet1!X82,"AAAAAH7/dWw=")</f>
        <v>#VALUE!</v>
      </c>
      <c r="DF10" t="e">
        <f>AND(Sheet1!Y82,"AAAAAH7/dW0=")</f>
        <v>#VALUE!</v>
      </c>
      <c r="DG10" t="e">
        <f>AND(Sheet1!Z82,"AAAAAH7/dW4=")</f>
        <v>#VALUE!</v>
      </c>
      <c r="DH10" t="e">
        <f>AND(Sheet1!AA82,"AAAAAH7/dW8=")</f>
        <v>#VALUE!</v>
      </c>
      <c r="DI10" t="e">
        <f>AND(Sheet1!AB82,"AAAAAH7/dXA=")</f>
        <v>#VALUE!</v>
      </c>
      <c r="DJ10">
        <f>IF(Sheet1!83:83,"AAAAAH7/dXE=",0)</f>
        <v>0</v>
      </c>
      <c r="DK10" t="e">
        <f>AND(Sheet1!A83,"AAAAAH7/dXI=")</f>
        <v>#VALUE!</v>
      </c>
      <c r="DL10" t="e">
        <f>AND(Sheet1!B83,"AAAAAH7/dXM=")</f>
        <v>#VALUE!</v>
      </c>
      <c r="DM10" t="e">
        <f>AND(Sheet1!C83,"AAAAAH7/dXQ=")</f>
        <v>#VALUE!</v>
      </c>
      <c r="DN10" t="e">
        <f>AND(Sheet1!D83,"AAAAAH7/dXU=")</f>
        <v>#VALUE!</v>
      </c>
      <c r="DO10" t="e">
        <f>AND(Sheet1!E83,"AAAAAH7/dXY=")</f>
        <v>#VALUE!</v>
      </c>
      <c r="DP10" t="e">
        <f>AND(Sheet1!F83,"AAAAAH7/dXc=")</f>
        <v>#VALUE!</v>
      </c>
      <c r="DQ10" t="e">
        <f>AND(Sheet1!G83,"AAAAAH7/dXg=")</f>
        <v>#VALUE!</v>
      </c>
      <c r="DR10" t="e">
        <f>AND(Sheet1!H83,"AAAAAH7/dXk=")</f>
        <v>#VALUE!</v>
      </c>
      <c r="DS10" t="e">
        <f>AND(Sheet1!I83,"AAAAAH7/dXo=")</f>
        <v>#VALUE!</v>
      </c>
      <c r="DT10" t="e">
        <f>AND(Sheet1!J83,"AAAAAH7/dXs=")</f>
        <v>#VALUE!</v>
      </c>
      <c r="DU10" t="e">
        <f>AND(Sheet1!K83,"AAAAAH7/dXw=")</f>
        <v>#VALUE!</v>
      </c>
      <c r="DV10" t="e">
        <f>AND(Sheet1!L83,"AAAAAH7/dX0=")</f>
        <v>#VALUE!</v>
      </c>
      <c r="DW10" t="e">
        <f>AND(Sheet1!M83,"AAAAAH7/dX4=")</f>
        <v>#VALUE!</v>
      </c>
      <c r="DX10" t="e">
        <f>AND(Sheet1!N83,"AAAAAH7/dX8=")</f>
        <v>#VALUE!</v>
      </c>
      <c r="DY10" t="e">
        <f>AND(Sheet1!O83,"AAAAAH7/dYA=")</f>
        <v>#VALUE!</v>
      </c>
      <c r="DZ10" t="e">
        <f>AND(Sheet1!P83,"AAAAAH7/dYE=")</f>
        <v>#VALUE!</v>
      </c>
      <c r="EA10" t="e">
        <f>AND(Sheet1!Q83,"AAAAAH7/dYI=")</f>
        <v>#VALUE!</v>
      </c>
      <c r="EB10" t="e">
        <f>AND(Sheet1!R83,"AAAAAH7/dYM=")</f>
        <v>#VALUE!</v>
      </c>
      <c r="EC10" t="e">
        <f>AND(Sheet1!S83,"AAAAAH7/dYQ=")</f>
        <v>#VALUE!</v>
      </c>
      <c r="ED10" t="e">
        <f>AND(Sheet1!T83,"AAAAAH7/dYU=")</f>
        <v>#VALUE!</v>
      </c>
      <c r="EE10" t="e">
        <f>AND(Sheet1!U83,"AAAAAH7/dYY=")</f>
        <v>#VALUE!</v>
      </c>
      <c r="EF10" t="e">
        <f>AND(Sheet1!V83,"AAAAAH7/dYc=")</f>
        <v>#VALUE!</v>
      </c>
      <c r="EG10" t="e">
        <f>AND(Sheet1!W83,"AAAAAH7/dYg=")</f>
        <v>#VALUE!</v>
      </c>
      <c r="EH10" t="e">
        <f>AND(Sheet1!X83,"AAAAAH7/dYk=")</f>
        <v>#VALUE!</v>
      </c>
      <c r="EI10" t="e">
        <f>AND(Sheet1!Y83,"AAAAAH7/dYo=")</f>
        <v>#VALUE!</v>
      </c>
      <c r="EJ10" t="e">
        <f>AND(Sheet1!Z83,"AAAAAH7/dYs=")</f>
        <v>#VALUE!</v>
      </c>
      <c r="EK10" t="e">
        <f>AND(Sheet1!AA83,"AAAAAH7/dYw=")</f>
        <v>#VALUE!</v>
      </c>
      <c r="EL10" t="e">
        <f>AND(Sheet1!AB83,"AAAAAH7/dY0=")</f>
        <v>#VALUE!</v>
      </c>
      <c r="EM10">
        <f>IF(Sheet1!84:84,"AAAAAH7/dY4=",0)</f>
        <v>0</v>
      </c>
      <c r="EN10" t="e">
        <f>AND(Sheet1!A84,"AAAAAH7/dY8=")</f>
        <v>#VALUE!</v>
      </c>
      <c r="EO10" t="e">
        <f>AND(Sheet1!B84,"AAAAAH7/dZA=")</f>
        <v>#VALUE!</v>
      </c>
      <c r="EP10" t="e">
        <f>AND(Sheet1!C84,"AAAAAH7/dZE=")</f>
        <v>#VALUE!</v>
      </c>
      <c r="EQ10" t="e">
        <f>AND(Sheet1!D84,"AAAAAH7/dZI=")</f>
        <v>#VALUE!</v>
      </c>
      <c r="ER10" t="e">
        <f>AND(Sheet1!E84,"AAAAAH7/dZM=")</f>
        <v>#VALUE!</v>
      </c>
      <c r="ES10" t="e">
        <f>AND(Sheet1!F84,"AAAAAH7/dZQ=")</f>
        <v>#VALUE!</v>
      </c>
      <c r="ET10" t="e">
        <f>AND(Sheet1!G84,"AAAAAH7/dZU=")</f>
        <v>#VALUE!</v>
      </c>
      <c r="EU10" t="e">
        <f>AND(Sheet1!H84,"AAAAAH7/dZY=")</f>
        <v>#VALUE!</v>
      </c>
      <c r="EV10" t="e">
        <f>AND(Sheet1!I84,"AAAAAH7/dZc=")</f>
        <v>#VALUE!</v>
      </c>
      <c r="EW10" t="e">
        <f>AND(Sheet1!J84,"AAAAAH7/dZg=")</f>
        <v>#VALUE!</v>
      </c>
      <c r="EX10" t="e">
        <f>AND(Sheet1!K84,"AAAAAH7/dZk=")</f>
        <v>#VALUE!</v>
      </c>
      <c r="EY10" t="e">
        <f>AND(Sheet1!L84,"AAAAAH7/dZo=")</f>
        <v>#VALUE!</v>
      </c>
      <c r="EZ10" t="e">
        <f>AND(Sheet1!M84,"AAAAAH7/dZs=")</f>
        <v>#VALUE!</v>
      </c>
      <c r="FA10" t="e">
        <f>AND(Sheet1!N84,"AAAAAH7/dZw=")</f>
        <v>#VALUE!</v>
      </c>
      <c r="FB10" t="e">
        <f>AND(Sheet1!O84,"AAAAAH7/dZ0=")</f>
        <v>#VALUE!</v>
      </c>
      <c r="FC10" t="e">
        <f>AND(Sheet1!P84,"AAAAAH7/dZ4=")</f>
        <v>#VALUE!</v>
      </c>
      <c r="FD10" t="e">
        <f>AND(Sheet1!Q84,"AAAAAH7/dZ8=")</f>
        <v>#VALUE!</v>
      </c>
      <c r="FE10" t="e">
        <f>AND(Sheet1!R84,"AAAAAH7/daA=")</f>
        <v>#VALUE!</v>
      </c>
      <c r="FF10" t="e">
        <f>AND(Sheet1!S84,"AAAAAH7/daE=")</f>
        <v>#VALUE!</v>
      </c>
      <c r="FG10" t="e">
        <f>AND(Sheet1!T84,"AAAAAH7/daI=")</f>
        <v>#VALUE!</v>
      </c>
      <c r="FH10" t="e">
        <f>AND(Sheet1!U84,"AAAAAH7/daM=")</f>
        <v>#VALUE!</v>
      </c>
      <c r="FI10" t="e">
        <f>AND(Sheet1!V84,"AAAAAH7/daQ=")</f>
        <v>#VALUE!</v>
      </c>
      <c r="FJ10" t="e">
        <f>AND(Sheet1!W84,"AAAAAH7/daU=")</f>
        <v>#VALUE!</v>
      </c>
      <c r="FK10" t="e">
        <f>AND(Sheet1!X84,"AAAAAH7/daY=")</f>
        <v>#VALUE!</v>
      </c>
      <c r="FL10" t="e">
        <f>AND(Sheet1!Y84,"AAAAAH7/dac=")</f>
        <v>#VALUE!</v>
      </c>
      <c r="FM10" t="e">
        <f>AND(Sheet1!Z84,"AAAAAH7/dag=")</f>
        <v>#VALUE!</v>
      </c>
      <c r="FN10" t="e">
        <f>AND(Sheet1!AA84,"AAAAAH7/dak=")</f>
        <v>#VALUE!</v>
      </c>
      <c r="FO10" t="e">
        <f>AND(Sheet1!AB84,"AAAAAH7/dao=")</f>
        <v>#VALUE!</v>
      </c>
      <c r="FP10">
        <f>IF(Sheet1!85:85,"AAAAAH7/das=",0)</f>
        <v>0</v>
      </c>
      <c r="FQ10" t="e">
        <f>AND(Sheet1!A85,"AAAAAH7/daw=")</f>
        <v>#VALUE!</v>
      </c>
      <c r="FR10" t="e">
        <f>AND(Sheet1!B85,"AAAAAH7/da0=")</f>
        <v>#VALUE!</v>
      </c>
      <c r="FS10" t="e">
        <f>AND(Sheet1!C85,"AAAAAH7/da4=")</f>
        <v>#VALUE!</v>
      </c>
      <c r="FT10" t="e">
        <f>AND(Sheet1!D85,"AAAAAH7/da8=")</f>
        <v>#VALUE!</v>
      </c>
      <c r="FU10" t="e">
        <f>AND(Sheet1!E85,"AAAAAH7/dbA=")</f>
        <v>#VALUE!</v>
      </c>
      <c r="FV10" t="e">
        <f>AND(Sheet1!F85,"AAAAAH7/dbE=")</f>
        <v>#VALUE!</v>
      </c>
      <c r="FW10" t="e">
        <f>AND(Sheet1!G85,"AAAAAH7/dbI=")</f>
        <v>#VALUE!</v>
      </c>
      <c r="FX10" t="e">
        <f>AND(Sheet1!H85,"AAAAAH7/dbM=")</f>
        <v>#VALUE!</v>
      </c>
      <c r="FY10" t="e">
        <f>AND(Sheet1!I85,"AAAAAH7/dbQ=")</f>
        <v>#VALUE!</v>
      </c>
      <c r="FZ10" t="e">
        <f>AND(Sheet1!J85,"AAAAAH7/dbU=")</f>
        <v>#VALUE!</v>
      </c>
      <c r="GA10" t="e">
        <f>AND(Sheet1!K85,"AAAAAH7/dbY=")</f>
        <v>#VALUE!</v>
      </c>
      <c r="GB10" t="e">
        <f>AND(Sheet1!L85,"AAAAAH7/dbc=")</f>
        <v>#VALUE!</v>
      </c>
      <c r="GC10" t="e">
        <f>AND(Sheet1!M85,"AAAAAH7/dbg=")</f>
        <v>#VALUE!</v>
      </c>
      <c r="GD10" t="e">
        <f>AND(Sheet1!N85,"AAAAAH7/dbk=")</f>
        <v>#VALUE!</v>
      </c>
      <c r="GE10" t="e">
        <f>AND(Sheet1!O85,"AAAAAH7/dbo=")</f>
        <v>#VALUE!</v>
      </c>
      <c r="GF10" t="e">
        <f>AND(Sheet1!P85,"AAAAAH7/dbs=")</f>
        <v>#VALUE!</v>
      </c>
      <c r="GG10" t="e">
        <f>AND(Sheet1!Q85,"AAAAAH7/dbw=")</f>
        <v>#VALUE!</v>
      </c>
      <c r="GH10" t="e">
        <f>AND(Sheet1!R85,"AAAAAH7/db0=")</f>
        <v>#VALUE!</v>
      </c>
      <c r="GI10" t="e">
        <f>AND(Sheet1!S85,"AAAAAH7/db4=")</f>
        <v>#VALUE!</v>
      </c>
      <c r="GJ10" t="e">
        <f>AND(Sheet1!T85,"AAAAAH7/db8=")</f>
        <v>#VALUE!</v>
      </c>
      <c r="GK10" t="e">
        <f>AND(Sheet1!U85,"AAAAAH7/dcA=")</f>
        <v>#VALUE!</v>
      </c>
      <c r="GL10" t="e">
        <f>AND(Sheet1!V85,"AAAAAH7/dcE=")</f>
        <v>#VALUE!</v>
      </c>
      <c r="GM10" t="e">
        <f>AND(Sheet1!W85,"AAAAAH7/dcI=")</f>
        <v>#VALUE!</v>
      </c>
      <c r="GN10" t="e">
        <f>AND(Sheet1!X85,"AAAAAH7/dcM=")</f>
        <v>#VALUE!</v>
      </c>
      <c r="GO10" t="e">
        <f>AND(Sheet1!Y85,"AAAAAH7/dcQ=")</f>
        <v>#VALUE!</v>
      </c>
      <c r="GP10" t="e">
        <f>AND(Sheet1!Z85,"AAAAAH7/dcU=")</f>
        <v>#VALUE!</v>
      </c>
      <c r="GQ10" t="e">
        <f>AND(Sheet1!AA85,"AAAAAH7/dcY=")</f>
        <v>#VALUE!</v>
      </c>
      <c r="GR10" t="e">
        <f>AND(Sheet1!AB85,"AAAAAH7/dcc=")</f>
        <v>#VALUE!</v>
      </c>
      <c r="GS10">
        <f>IF(Sheet1!86:86,"AAAAAH7/dcg=",0)</f>
        <v>0</v>
      </c>
      <c r="GT10" t="e">
        <f>AND(Sheet1!A86,"AAAAAH7/dck=")</f>
        <v>#VALUE!</v>
      </c>
      <c r="GU10" t="e">
        <f>AND(Sheet1!B86,"AAAAAH7/dco=")</f>
        <v>#VALUE!</v>
      </c>
      <c r="GV10" t="e">
        <f>AND(Sheet1!C86,"AAAAAH7/dcs=")</f>
        <v>#VALUE!</v>
      </c>
      <c r="GW10" t="e">
        <f>AND(Sheet1!D86,"AAAAAH7/dcw=")</f>
        <v>#VALUE!</v>
      </c>
      <c r="GX10" t="e">
        <f>AND(Sheet1!E86,"AAAAAH7/dc0=")</f>
        <v>#VALUE!</v>
      </c>
      <c r="GY10" t="e">
        <f>AND(Sheet1!F86,"AAAAAH7/dc4=")</f>
        <v>#VALUE!</v>
      </c>
      <c r="GZ10" t="e">
        <f>AND(Sheet1!G86,"AAAAAH7/dc8=")</f>
        <v>#VALUE!</v>
      </c>
      <c r="HA10" t="e">
        <f>AND(Sheet1!H86,"AAAAAH7/ddA=")</f>
        <v>#VALUE!</v>
      </c>
      <c r="HB10" t="e">
        <f>AND(Sheet1!I86,"AAAAAH7/ddE=")</f>
        <v>#VALUE!</v>
      </c>
      <c r="HC10" t="e">
        <f>AND(Sheet1!J86,"AAAAAH7/ddI=")</f>
        <v>#VALUE!</v>
      </c>
      <c r="HD10" t="e">
        <f>AND(Sheet1!K86,"AAAAAH7/ddM=")</f>
        <v>#VALUE!</v>
      </c>
      <c r="HE10" t="e">
        <f>AND(Sheet1!L86,"AAAAAH7/ddQ=")</f>
        <v>#VALUE!</v>
      </c>
      <c r="HF10" t="e">
        <f>AND(Sheet1!M86,"AAAAAH7/ddU=")</f>
        <v>#VALUE!</v>
      </c>
      <c r="HG10" t="e">
        <f>AND(Sheet1!N86,"AAAAAH7/ddY=")</f>
        <v>#VALUE!</v>
      </c>
      <c r="HH10" t="e">
        <f>AND(Sheet1!O86,"AAAAAH7/ddc=")</f>
        <v>#VALUE!</v>
      </c>
      <c r="HI10" t="e">
        <f>AND(Sheet1!P86,"AAAAAH7/ddg=")</f>
        <v>#VALUE!</v>
      </c>
      <c r="HJ10" t="e">
        <f>AND(Sheet1!Q86,"AAAAAH7/ddk=")</f>
        <v>#VALUE!</v>
      </c>
      <c r="HK10" t="e">
        <f>AND(Sheet1!R86,"AAAAAH7/ddo=")</f>
        <v>#VALUE!</v>
      </c>
      <c r="HL10" t="e">
        <f>AND(Sheet1!S86,"AAAAAH7/dds=")</f>
        <v>#VALUE!</v>
      </c>
      <c r="HM10" t="e">
        <f>AND(Sheet1!T86,"AAAAAH7/ddw=")</f>
        <v>#VALUE!</v>
      </c>
      <c r="HN10" t="e">
        <f>AND(Sheet1!U86,"AAAAAH7/dd0=")</f>
        <v>#VALUE!</v>
      </c>
      <c r="HO10" t="e">
        <f>AND(Sheet1!V86,"AAAAAH7/dd4=")</f>
        <v>#VALUE!</v>
      </c>
      <c r="HP10" t="e">
        <f>AND(Sheet1!W86,"AAAAAH7/dd8=")</f>
        <v>#VALUE!</v>
      </c>
      <c r="HQ10" t="e">
        <f>AND(Sheet1!X86,"AAAAAH7/deA=")</f>
        <v>#VALUE!</v>
      </c>
      <c r="HR10" t="e">
        <f>AND(Sheet1!Y86,"AAAAAH7/deE=")</f>
        <v>#VALUE!</v>
      </c>
      <c r="HS10" t="e">
        <f>AND(Sheet1!Z86,"AAAAAH7/deI=")</f>
        <v>#VALUE!</v>
      </c>
      <c r="HT10" t="e">
        <f>AND(Sheet1!AA86,"AAAAAH7/deM=")</f>
        <v>#VALUE!</v>
      </c>
      <c r="HU10" t="e">
        <f>AND(Sheet1!AB86,"AAAAAH7/deQ=")</f>
        <v>#VALUE!</v>
      </c>
      <c r="HV10">
        <f>IF(Sheet1!87:87,"AAAAAH7/deU=",0)</f>
        <v>0</v>
      </c>
      <c r="HW10" t="e">
        <f>AND(Sheet1!A87,"AAAAAH7/deY=")</f>
        <v>#VALUE!</v>
      </c>
      <c r="HX10" t="e">
        <f>AND(Sheet1!B87,"AAAAAH7/dec=")</f>
        <v>#VALUE!</v>
      </c>
      <c r="HY10" t="e">
        <f>AND(Sheet1!C87,"AAAAAH7/deg=")</f>
        <v>#VALUE!</v>
      </c>
      <c r="HZ10" t="e">
        <f>AND(Sheet1!D87,"AAAAAH7/dek=")</f>
        <v>#VALUE!</v>
      </c>
      <c r="IA10" t="e">
        <f>AND(Sheet1!E87,"AAAAAH7/deo=")</f>
        <v>#VALUE!</v>
      </c>
      <c r="IB10" t="e">
        <f>AND(Sheet1!F87,"AAAAAH7/des=")</f>
        <v>#VALUE!</v>
      </c>
      <c r="IC10" t="e">
        <f>AND(Sheet1!G87,"AAAAAH7/dew=")</f>
        <v>#VALUE!</v>
      </c>
      <c r="ID10" t="e">
        <f>AND(Sheet1!H87,"AAAAAH7/de0=")</f>
        <v>#VALUE!</v>
      </c>
      <c r="IE10" t="e">
        <f>AND(Sheet1!I87,"AAAAAH7/de4=")</f>
        <v>#VALUE!</v>
      </c>
      <c r="IF10" t="e">
        <f>AND(Sheet1!J87,"AAAAAH7/de8=")</f>
        <v>#VALUE!</v>
      </c>
      <c r="IG10" t="e">
        <f>AND(Sheet1!K87,"AAAAAH7/dfA=")</f>
        <v>#VALUE!</v>
      </c>
      <c r="IH10" t="e">
        <f>AND(Sheet1!L87,"AAAAAH7/dfE=")</f>
        <v>#VALUE!</v>
      </c>
      <c r="II10" t="e">
        <f>AND(Sheet1!M87,"AAAAAH7/dfI=")</f>
        <v>#VALUE!</v>
      </c>
      <c r="IJ10" t="e">
        <f>AND(Sheet1!N87,"AAAAAH7/dfM=")</f>
        <v>#VALUE!</v>
      </c>
      <c r="IK10" t="e">
        <f>AND(Sheet1!O87,"AAAAAH7/dfQ=")</f>
        <v>#VALUE!</v>
      </c>
      <c r="IL10" t="e">
        <f>AND(Sheet1!P87,"AAAAAH7/dfU=")</f>
        <v>#VALUE!</v>
      </c>
      <c r="IM10" t="e">
        <f>AND(Sheet1!Q87,"AAAAAH7/dfY=")</f>
        <v>#VALUE!</v>
      </c>
      <c r="IN10" t="e">
        <f>AND(Sheet1!R87,"AAAAAH7/dfc=")</f>
        <v>#VALUE!</v>
      </c>
      <c r="IO10" t="e">
        <f>AND(Sheet1!S87,"AAAAAH7/dfg=")</f>
        <v>#VALUE!</v>
      </c>
      <c r="IP10" t="e">
        <f>AND(Sheet1!T87,"AAAAAH7/dfk=")</f>
        <v>#VALUE!</v>
      </c>
      <c r="IQ10" t="e">
        <f>AND(Sheet1!U87,"AAAAAH7/dfo=")</f>
        <v>#VALUE!</v>
      </c>
      <c r="IR10" t="e">
        <f>AND(Sheet1!V87,"AAAAAH7/dfs=")</f>
        <v>#VALUE!</v>
      </c>
      <c r="IS10" t="e">
        <f>AND(Sheet1!W87,"AAAAAH7/dfw=")</f>
        <v>#VALUE!</v>
      </c>
      <c r="IT10" t="e">
        <f>AND(Sheet1!X87,"AAAAAH7/df0=")</f>
        <v>#VALUE!</v>
      </c>
      <c r="IU10" t="e">
        <f>AND(Sheet1!Y87,"AAAAAH7/df4=")</f>
        <v>#VALUE!</v>
      </c>
      <c r="IV10" t="e">
        <f>AND(Sheet1!Z87,"AAAAAH7/df8=")</f>
        <v>#VALUE!</v>
      </c>
    </row>
    <row r="11" spans="1:256" ht="12.75">
      <c r="A11" t="e">
        <f>AND(Sheet1!AA87,"AAAAAFf2/wA=")</f>
        <v>#VALUE!</v>
      </c>
      <c r="B11" t="e">
        <f>AND(Sheet1!AB87,"AAAAAFf2/wE=")</f>
        <v>#VALUE!</v>
      </c>
      <c r="C11">
        <f>IF(Sheet1!88:88,"AAAAAFf2/wI=",0)</f>
        <v>0</v>
      </c>
      <c r="D11" t="e">
        <f>AND(Sheet1!A88,"AAAAAFf2/wM=")</f>
        <v>#VALUE!</v>
      </c>
      <c r="E11" t="e">
        <f>AND(Sheet1!B88,"AAAAAFf2/wQ=")</f>
        <v>#VALUE!</v>
      </c>
      <c r="F11" t="e">
        <f>AND(Sheet1!C88,"AAAAAFf2/wU=")</f>
        <v>#VALUE!</v>
      </c>
      <c r="G11" t="e">
        <f>AND(Sheet1!D88,"AAAAAFf2/wY=")</f>
        <v>#VALUE!</v>
      </c>
      <c r="H11" t="e">
        <f>AND(Sheet1!E88,"AAAAAFf2/wc=")</f>
        <v>#VALUE!</v>
      </c>
      <c r="I11" t="e">
        <f>AND(Sheet1!F88,"AAAAAFf2/wg=")</f>
        <v>#VALUE!</v>
      </c>
      <c r="J11" t="e">
        <f>AND(Sheet1!G88,"AAAAAFf2/wk=")</f>
        <v>#VALUE!</v>
      </c>
      <c r="K11" t="e">
        <f>AND(Sheet1!H88,"AAAAAFf2/wo=")</f>
        <v>#VALUE!</v>
      </c>
      <c r="L11" t="e">
        <f>AND(Sheet1!I88,"AAAAAFf2/ws=")</f>
        <v>#VALUE!</v>
      </c>
      <c r="M11" t="e">
        <f>AND(Sheet1!J88,"AAAAAFf2/ww=")</f>
        <v>#VALUE!</v>
      </c>
      <c r="N11" t="e">
        <f>AND(Sheet1!K88,"AAAAAFf2/w0=")</f>
        <v>#VALUE!</v>
      </c>
      <c r="O11" t="e">
        <f>AND(Sheet1!L88,"AAAAAFf2/w4=")</f>
        <v>#VALUE!</v>
      </c>
      <c r="P11" t="e">
        <f>AND(Sheet1!M88,"AAAAAFf2/w8=")</f>
        <v>#VALUE!</v>
      </c>
      <c r="Q11" t="e">
        <f>AND(Sheet1!N88,"AAAAAFf2/xA=")</f>
        <v>#VALUE!</v>
      </c>
      <c r="R11" t="e">
        <f>AND(Sheet1!O88,"AAAAAFf2/xE=")</f>
        <v>#VALUE!</v>
      </c>
      <c r="S11" t="e">
        <f>AND(Sheet1!P88,"AAAAAFf2/xI=")</f>
        <v>#VALUE!</v>
      </c>
      <c r="T11" t="e">
        <f>AND(Sheet1!Q88,"AAAAAFf2/xM=")</f>
        <v>#VALUE!</v>
      </c>
      <c r="U11" t="e">
        <f>AND(Sheet1!R88,"AAAAAFf2/xQ=")</f>
        <v>#VALUE!</v>
      </c>
      <c r="V11" t="e">
        <f>AND(Sheet1!S88,"AAAAAFf2/xU=")</f>
        <v>#VALUE!</v>
      </c>
      <c r="W11" t="e">
        <f>AND(Sheet1!T88,"AAAAAFf2/xY=")</f>
        <v>#VALUE!</v>
      </c>
      <c r="X11" t="e">
        <f>AND(Sheet1!U88,"AAAAAFf2/xc=")</f>
        <v>#VALUE!</v>
      </c>
      <c r="Y11" t="e">
        <f>AND(Sheet1!V88,"AAAAAFf2/xg=")</f>
        <v>#VALUE!</v>
      </c>
      <c r="Z11" t="e">
        <f>AND(Sheet1!W88,"AAAAAFf2/xk=")</f>
        <v>#VALUE!</v>
      </c>
      <c r="AA11" t="e">
        <f>AND(Sheet1!X88,"AAAAAFf2/xo=")</f>
        <v>#VALUE!</v>
      </c>
      <c r="AB11" t="e">
        <f>AND(Sheet1!Y88,"AAAAAFf2/xs=")</f>
        <v>#VALUE!</v>
      </c>
      <c r="AC11" t="e">
        <f>AND(Sheet1!Z88,"AAAAAFf2/xw=")</f>
        <v>#VALUE!</v>
      </c>
      <c r="AD11" t="e">
        <f>AND(Sheet1!AA88,"AAAAAFf2/x0=")</f>
        <v>#VALUE!</v>
      </c>
      <c r="AE11" t="e">
        <f>AND(Sheet1!AB88,"AAAAAFf2/x4=")</f>
        <v>#VALUE!</v>
      </c>
      <c r="AF11">
        <f>IF(Sheet1!89:89,"AAAAAFf2/x8=",0)</f>
        <v>0</v>
      </c>
      <c r="AG11" t="e">
        <f>AND(Sheet1!A89,"AAAAAFf2/yA=")</f>
        <v>#VALUE!</v>
      </c>
      <c r="AH11" t="e">
        <f>AND(Sheet1!B89,"AAAAAFf2/yE=")</f>
        <v>#VALUE!</v>
      </c>
      <c r="AI11" t="e">
        <f>AND(Sheet1!C89,"AAAAAFf2/yI=")</f>
        <v>#VALUE!</v>
      </c>
      <c r="AJ11" t="e">
        <f>AND(Sheet1!D89,"AAAAAFf2/yM=")</f>
        <v>#VALUE!</v>
      </c>
      <c r="AK11" t="e">
        <f>AND(Sheet1!E89,"AAAAAFf2/yQ=")</f>
        <v>#VALUE!</v>
      </c>
      <c r="AL11" t="e">
        <f>AND(Sheet1!F89,"AAAAAFf2/yU=")</f>
        <v>#VALUE!</v>
      </c>
      <c r="AM11" t="e">
        <f>AND(Sheet1!G89,"AAAAAFf2/yY=")</f>
        <v>#VALUE!</v>
      </c>
      <c r="AN11" t="e">
        <f>AND(Sheet1!H89,"AAAAAFf2/yc=")</f>
        <v>#VALUE!</v>
      </c>
      <c r="AO11" t="e">
        <f>AND(Sheet1!I89,"AAAAAFf2/yg=")</f>
        <v>#VALUE!</v>
      </c>
      <c r="AP11" t="e">
        <f>AND(Sheet1!J89,"AAAAAFf2/yk=")</f>
        <v>#VALUE!</v>
      </c>
      <c r="AQ11" t="e">
        <f>AND(Sheet1!K89,"AAAAAFf2/yo=")</f>
        <v>#VALUE!</v>
      </c>
      <c r="AR11" t="e">
        <f>AND(Sheet1!L89,"AAAAAFf2/ys=")</f>
        <v>#VALUE!</v>
      </c>
      <c r="AS11" t="e">
        <f>AND(Sheet1!M89,"AAAAAFf2/yw=")</f>
        <v>#VALUE!</v>
      </c>
      <c r="AT11" t="e">
        <f>AND(Sheet1!N89,"AAAAAFf2/y0=")</f>
        <v>#VALUE!</v>
      </c>
      <c r="AU11" t="e">
        <f>AND(Sheet1!O89,"AAAAAFf2/y4=")</f>
        <v>#VALUE!</v>
      </c>
      <c r="AV11" t="e">
        <f>AND(Sheet1!P89,"AAAAAFf2/y8=")</f>
        <v>#VALUE!</v>
      </c>
      <c r="AW11" t="e">
        <f>AND(Sheet1!Q89,"AAAAAFf2/zA=")</f>
        <v>#VALUE!</v>
      </c>
      <c r="AX11" t="e">
        <f>AND(Sheet1!R89,"AAAAAFf2/zE=")</f>
        <v>#VALUE!</v>
      </c>
      <c r="AY11" t="e">
        <f>AND(Sheet1!S89,"AAAAAFf2/zI=")</f>
        <v>#VALUE!</v>
      </c>
      <c r="AZ11" t="e">
        <f>AND(Sheet1!T89,"AAAAAFf2/zM=")</f>
        <v>#VALUE!</v>
      </c>
      <c r="BA11" t="e">
        <f>AND(Sheet1!U89,"AAAAAFf2/zQ=")</f>
        <v>#VALUE!</v>
      </c>
      <c r="BB11" t="e">
        <f>AND(Sheet1!V89,"AAAAAFf2/zU=")</f>
        <v>#VALUE!</v>
      </c>
      <c r="BC11" t="e">
        <f>AND(Sheet1!W89,"AAAAAFf2/zY=")</f>
        <v>#VALUE!</v>
      </c>
      <c r="BD11" t="e">
        <f>AND(Sheet1!X89,"AAAAAFf2/zc=")</f>
        <v>#VALUE!</v>
      </c>
      <c r="BE11" t="e">
        <f>AND(Sheet1!Y89,"AAAAAFf2/zg=")</f>
        <v>#VALUE!</v>
      </c>
      <c r="BF11" t="e">
        <f>AND(Sheet1!Z89,"AAAAAFf2/zk=")</f>
        <v>#VALUE!</v>
      </c>
      <c r="BG11" t="e">
        <f>AND(Sheet1!AA89,"AAAAAFf2/zo=")</f>
        <v>#VALUE!</v>
      </c>
      <c r="BH11" t="e">
        <f>AND(Sheet1!AB89,"AAAAAFf2/zs=")</f>
        <v>#VALUE!</v>
      </c>
      <c r="BI11">
        <f>IF(Sheet1!90:90,"AAAAAFf2/zw=",0)</f>
        <v>0</v>
      </c>
      <c r="BJ11" t="e">
        <f>AND(Sheet1!A90,"AAAAAFf2/z0=")</f>
        <v>#VALUE!</v>
      </c>
      <c r="BK11" t="e">
        <f>AND(Sheet1!B90,"AAAAAFf2/z4=")</f>
        <v>#VALUE!</v>
      </c>
      <c r="BL11" t="e">
        <f>AND(Sheet1!C90,"AAAAAFf2/z8=")</f>
        <v>#VALUE!</v>
      </c>
      <c r="BM11" t="e">
        <f>AND(Sheet1!D90,"AAAAAFf2/0A=")</f>
        <v>#VALUE!</v>
      </c>
      <c r="BN11" t="e">
        <f>AND(Sheet1!E90,"AAAAAFf2/0E=")</f>
        <v>#VALUE!</v>
      </c>
      <c r="BO11" t="e">
        <f>AND(Sheet1!F90,"AAAAAFf2/0I=")</f>
        <v>#VALUE!</v>
      </c>
      <c r="BP11" t="e">
        <f>AND(Sheet1!G90,"AAAAAFf2/0M=")</f>
        <v>#VALUE!</v>
      </c>
      <c r="BQ11" t="e">
        <f>AND(Sheet1!H90,"AAAAAFf2/0Q=")</f>
        <v>#VALUE!</v>
      </c>
      <c r="BR11" t="e">
        <f>AND(Sheet1!I90,"AAAAAFf2/0U=")</f>
        <v>#VALUE!</v>
      </c>
      <c r="BS11" t="e">
        <f>AND(Sheet1!J90,"AAAAAFf2/0Y=")</f>
        <v>#VALUE!</v>
      </c>
      <c r="BT11" t="e">
        <f>AND(Sheet1!K90,"AAAAAFf2/0c=")</f>
        <v>#VALUE!</v>
      </c>
      <c r="BU11" t="e">
        <f>AND(Sheet1!L90,"AAAAAFf2/0g=")</f>
        <v>#VALUE!</v>
      </c>
      <c r="BV11" t="e">
        <f>AND(Sheet1!M90,"AAAAAFf2/0k=")</f>
        <v>#VALUE!</v>
      </c>
      <c r="BW11" t="e">
        <f>AND(Sheet1!N90,"AAAAAFf2/0o=")</f>
        <v>#VALUE!</v>
      </c>
      <c r="BX11" t="e">
        <f>AND(Sheet1!O90,"AAAAAFf2/0s=")</f>
        <v>#VALUE!</v>
      </c>
      <c r="BY11" t="e">
        <f>AND(Sheet1!P90,"AAAAAFf2/0w=")</f>
        <v>#VALUE!</v>
      </c>
      <c r="BZ11" t="e">
        <f>AND(Sheet1!Q90,"AAAAAFf2/00=")</f>
        <v>#VALUE!</v>
      </c>
      <c r="CA11" t="e">
        <f>AND(Sheet1!R90,"AAAAAFf2/04=")</f>
        <v>#VALUE!</v>
      </c>
      <c r="CB11" t="e">
        <f>AND(Sheet1!S90,"AAAAAFf2/08=")</f>
        <v>#VALUE!</v>
      </c>
      <c r="CC11" t="e">
        <f>AND(Sheet1!T90,"AAAAAFf2/1A=")</f>
        <v>#VALUE!</v>
      </c>
      <c r="CD11" t="e">
        <f>AND(Sheet1!U90,"AAAAAFf2/1E=")</f>
        <v>#VALUE!</v>
      </c>
      <c r="CE11" t="e">
        <f>AND(Sheet1!V90,"AAAAAFf2/1I=")</f>
        <v>#VALUE!</v>
      </c>
      <c r="CF11" t="e">
        <f>AND(Sheet1!W90,"AAAAAFf2/1M=")</f>
        <v>#VALUE!</v>
      </c>
      <c r="CG11" t="e">
        <f>AND(Sheet1!X90,"AAAAAFf2/1Q=")</f>
        <v>#VALUE!</v>
      </c>
      <c r="CH11" t="e">
        <f>AND(Sheet1!Y90,"AAAAAFf2/1U=")</f>
        <v>#VALUE!</v>
      </c>
      <c r="CI11" t="e">
        <f>AND(Sheet1!Z90,"AAAAAFf2/1Y=")</f>
        <v>#VALUE!</v>
      </c>
      <c r="CJ11" t="e">
        <f>AND(Sheet1!AA90,"AAAAAFf2/1c=")</f>
        <v>#VALUE!</v>
      </c>
      <c r="CK11" t="e">
        <f>AND(Sheet1!AB90,"AAAAAFf2/1g=")</f>
        <v>#VALUE!</v>
      </c>
      <c r="CL11">
        <f>IF(Sheet1!91:91,"AAAAAFf2/1k=",0)</f>
        <v>0</v>
      </c>
      <c r="CM11" t="e">
        <f>AND(Sheet1!A91,"AAAAAFf2/1o=")</f>
        <v>#VALUE!</v>
      </c>
      <c r="CN11" t="e">
        <f>AND(Sheet1!B91,"AAAAAFf2/1s=")</f>
        <v>#VALUE!</v>
      </c>
      <c r="CO11" t="e">
        <f>AND(Sheet1!C91,"AAAAAFf2/1w=")</f>
        <v>#VALUE!</v>
      </c>
      <c r="CP11" t="e">
        <f>AND(Sheet1!D91,"AAAAAFf2/10=")</f>
        <v>#VALUE!</v>
      </c>
      <c r="CQ11" t="e">
        <f>AND(Sheet1!E91,"AAAAAFf2/14=")</f>
        <v>#VALUE!</v>
      </c>
      <c r="CR11" t="e">
        <f>AND(Sheet1!F91,"AAAAAFf2/18=")</f>
        <v>#VALUE!</v>
      </c>
      <c r="CS11" t="e">
        <f>AND(Sheet1!G91,"AAAAAFf2/2A=")</f>
        <v>#VALUE!</v>
      </c>
      <c r="CT11" t="e">
        <f>AND(Sheet1!H91,"AAAAAFf2/2E=")</f>
        <v>#VALUE!</v>
      </c>
      <c r="CU11" t="e">
        <f>AND(Sheet1!I91,"AAAAAFf2/2I=")</f>
        <v>#VALUE!</v>
      </c>
      <c r="CV11" t="e">
        <f>AND(Sheet1!J91,"AAAAAFf2/2M=")</f>
        <v>#VALUE!</v>
      </c>
      <c r="CW11" t="e">
        <f>AND(Sheet1!K91,"AAAAAFf2/2Q=")</f>
        <v>#VALUE!</v>
      </c>
      <c r="CX11" t="e">
        <f>AND(Sheet1!L91,"AAAAAFf2/2U=")</f>
        <v>#VALUE!</v>
      </c>
      <c r="CY11" t="e">
        <f>AND(Sheet1!M91,"AAAAAFf2/2Y=")</f>
        <v>#VALUE!</v>
      </c>
      <c r="CZ11" t="e">
        <f>AND(Sheet1!N91,"AAAAAFf2/2c=")</f>
        <v>#VALUE!</v>
      </c>
      <c r="DA11" t="e">
        <f>AND(Sheet1!O91,"AAAAAFf2/2g=")</f>
        <v>#VALUE!</v>
      </c>
      <c r="DB11" t="e">
        <f>AND(Sheet1!P91,"AAAAAFf2/2k=")</f>
        <v>#VALUE!</v>
      </c>
      <c r="DC11" t="e">
        <f>AND(Sheet1!Q91,"AAAAAFf2/2o=")</f>
        <v>#VALUE!</v>
      </c>
      <c r="DD11" t="e">
        <f>AND(Sheet1!R91,"AAAAAFf2/2s=")</f>
        <v>#VALUE!</v>
      </c>
      <c r="DE11" t="e">
        <f>AND(Sheet1!S91,"AAAAAFf2/2w=")</f>
        <v>#VALUE!</v>
      </c>
      <c r="DF11" t="e">
        <f>AND(Sheet1!T91,"AAAAAFf2/20=")</f>
        <v>#VALUE!</v>
      </c>
      <c r="DG11" t="e">
        <f>AND(Sheet1!U91,"AAAAAFf2/24=")</f>
        <v>#VALUE!</v>
      </c>
      <c r="DH11" t="e">
        <f>AND(Sheet1!V91,"AAAAAFf2/28=")</f>
        <v>#VALUE!</v>
      </c>
      <c r="DI11" t="e">
        <f>AND(Sheet1!W91,"AAAAAFf2/3A=")</f>
        <v>#VALUE!</v>
      </c>
      <c r="DJ11" t="e">
        <f>AND(Sheet1!X91,"AAAAAFf2/3E=")</f>
        <v>#VALUE!</v>
      </c>
      <c r="DK11" t="e">
        <f>AND(Sheet1!Y91,"AAAAAFf2/3I=")</f>
        <v>#VALUE!</v>
      </c>
      <c r="DL11" t="e">
        <f>AND(Sheet1!Z91,"AAAAAFf2/3M=")</f>
        <v>#VALUE!</v>
      </c>
      <c r="DM11" t="e">
        <f>AND(Sheet1!AA91,"AAAAAFf2/3Q=")</f>
        <v>#VALUE!</v>
      </c>
      <c r="DN11" t="e">
        <f>AND(Sheet1!AB91,"AAAAAFf2/3U=")</f>
        <v>#VALUE!</v>
      </c>
      <c r="DO11">
        <f>IF(Sheet1!92:92,"AAAAAFf2/3Y=",0)</f>
        <v>0</v>
      </c>
      <c r="DP11" t="e">
        <f>AND(Sheet1!A92,"AAAAAFf2/3c=")</f>
        <v>#VALUE!</v>
      </c>
      <c r="DQ11" t="e">
        <f>AND(Sheet1!B92,"AAAAAFf2/3g=")</f>
        <v>#VALUE!</v>
      </c>
      <c r="DR11" t="e">
        <f>AND(Sheet1!C92,"AAAAAFf2/3k=")</f>
        <v>#VALUE!</v>
      </c>
      <c r="DS11" t="e">
        <f>AND(Sheet1!D92,"AAAAAFf2/3o=")</f>
        <v>#VALUE!</v>
      </c>
      <c r="DT11" t="e">
        <f>AND(Sheet1!E92,"AAAAAFf2/3s=")</f>
        <v>#VALUE!</v>
      </c>
      <c r="DU11" t="e">
        <f>AND(Sheet1!F92,"AAAAAFf2/3w=")</f>
        <v>#VALUE!</v>
      </c>
      <c r="DV11" t="e">
        <f>AND(Sheet1!G92,"AAAAAFf2/30=")</f>
        <v>#VALUE!</v>
      </c>
      <c r="DW11" t="e">
        <f>AND(Sheet1!H92,"AAAAAFf2/34=")</f>
        <v>#VALUE!</v>
      </c>
      <c r="DX11" t="e">
        <f>AND(Sheet1!I92,"AAAAAFf2/38=")</f>
        <v>#VALUE!</v>
      </c>
      <c r="DY11" t="e">
        <f>AND(Sheet1!J92,"AAAAAFf2/4A=")</f>
        <v>#VALUE!</v>
      </c>
      <c r="DZ11" t="e">
        <f>AND(Sheet1!K92,"AAAAAFf2/4E=")</f>
        <v>#VALUE!</v>
      </c>
      <c r="EA11" t="e">
        <f>AND(Sheet1!L92,"AAAAAFf2/4I=")</f>
        <v>#VALUE!</v>
      </c>
      <c r="EB11" t="e">
        <f>AND(Sheet1!M92,"AAAAAFf2/4M=")</f>
        <v>#VALUE!</v>
      </c>
      <c r="EC11" t="e">
        <f>AND(Sheet1!N92,"AAAAAFf2/4Q=")</f>
        <v>#VALUE!</v>
      </c>
      <c r="ED11" t="e">
        <f>AND(Sheet1!O92,"AAAAAFf2/4U=")</f>
        <v>#VALUE!</v>
      </c>
      <c r="EE11" t="e">
        <f>AND(Sheet1!P92,"AAAAAFf2/4Y=")</f>
        <v>#VALUE!</v>
      </c>
      <c r="EF11" t="e">
        <f>AND(Sheet1!Q92,"AAAAAFf2/4c=")</f>
        <v>#VALUE!</v>
      </c>
      <c r="EG11" t="e">
        <f>AND(Sheet1!R92,"AAAAAFf2/4g=")</f>
        <v>#VALUE!</v>
      </c>
      <c r="EH11" t="e">
        <f>AND(Sheet1!S92,"AAAAAFf2/4k=")</f>
        <v>#VALUE!</v>
      </c>
      <c r="EI11" t="e">
        <f>AND(Sheet1!T92,"AAAAAFf2/4o=")</f>
        <v>#VALUE!</v>
      </c>
      <c r="EJ11" t="e">
        <f>AND(Sheet1!U92,"AAAAAFf2/4s=")</f>
        <v>#VALUE!</v>
      </c>
      <c r="EK11" t="e">
        <f>AND(Sheet1!V92,"AAAAAFf2/4w=")</f>
        <v>#VALUE!</v>
      </c>
      <c r="EL11" t="e">
        <f>AND(Sheet1!W92,"AAAAAFf2/40=")</f>
        <v>#VALUE!</v>
      </c>
      <c r="EM11" t="e">
        <f>AND(Sheet1!X92,"AAAAAFf2/44=")</f>
        <v>#VALUE!</v>
      </c>
      <c r="EN11" t="e">
        <f>AND(Sheet1!Y92,"AAAAAFf2/48=")</f>
        <v>#VALUE!</v>
      </c>
      <c r="EO11" t="e">
        <f>AND(Sheet1!Z92,"AAAAAFf2/5A=")</f>
        <v>#VALUE!</v>
      </c>
      <c r="EP11" t="e">
        <f>AND(Sheet1!AA92,"AAAAAFf2/5E=")</f>
        <v>#VALUE!</v>
      </c>
      <c r="EQ11" t="e">
        <f>AND(Sheet1!AB92,"AAAAAFf2/5I=")</f>
        <v>#VALUE!</v>
      </c>
      <c r="ER11">
        <f>IF(Sheet1!93:93,"AAAAAFf2/5M=",0)</f>
        <v>0</v>
      </c>
      <c r="ES11" t="e">
        <f>AND(Sheet1!A93,"AAAAAFf2/5Q=")</f>
        <v>#VALUE!</v>
      </c>
      <c r="ET11" t="e">
        <f>AND(Sheet1!B93,"AAAAAFf2/5U=")</f>
        <v>#VALUE!</v>
      </c>
      <c r="EU11" t="e">
        <f>AND(Sheet1!C93,"AAAAAFf2/5Y=")</f>
        <v>#VALUE!</v>
      </c>
      <c r="EV11" t="e">
        <f>AND(Sheet1!D93,"AAAAAFf2/5c=")</f>
        <v>#VALUE!</v>
      </c>
      <c r="EW11" t="e">
        <f>AND(Sheet1!E93,"AAAAAFf2/5g=")</f>
        <v>#VALUE!</v>
      </c>
      <c r="EX11" t="e">
        <f>AND(Sheet1!F93,"AAAAAFf2/5k=")</f>
        <v>#VALUE!</v>
      </c>
      <c r="EY11" t="e">
        <f>AND(Sheet1!G93,"AAAAAFf2/5o=")</f>
        <v>#VALUE!</v>
      </c>
      <c r="EZ11" t="e">
        <f>AND(Sheet1!H93,"AAAAAFf2/5s=")</f>
        <v>#VALUE!</v>
      </c>
      <c r="FA11" t="e">
        <f>AND(Sheet1!I93,"AAAAAFf2/5w=")</f>
        <v>#VALUE!</v>
      </c>
      <c r="FB11" t="e">
        <f>AND(Sheet1!J93,"AAAAAFf2/50=")</f>
        <v>#VALUE!</v>
      </c>
      <c r="FC11" t="e">
        <f>AND(Sheet1!K93,"AAAAAFf2/54=")</f>
        <v>#VALUE!</v>
      </c>
      <c r="FD11" t="e">
        <f>AND(Sheet1!L93,"AAAAAFf2/58=")</f>
        <v>#VALUE!</v>
      </c>
      <c r="FE11" t="e">
        <f>AND(Sheet1!M93,"AAAAAFf2/6A=")</f>
        <v>#VALUE!</v>
      </c>
      <c r="FF11" t="e">
        <f>AND(Sheet1!N93,"AAAAAFf2/6E=")</f>
        <v>#VALUE!</v>
      </c>
      <c r="FG11" t="e">
        <f>AND(Sheet1!O93,"AAAAAFf2/6I=")</f>
        <v>#VALUE!</v>
      </c>
      <c r="FH11" t="e">
        <f>AND(Sheet1!P93,"AAAAAFf2/6M=")</f>
        <v>#VALUE!</v>
      </c>
      <c r="FI11" t="e">
        <f>AND(Sheet1!Q93,"AAAAAFf2/6Q=")</f>
        <v>#VALUE!</v>
      </c>
      <c r="FJ11" t="e">
        <f>AND(Sheet1!R93,"AAAAAFf2/6U=")</f>
        <v>#VALUE!</v>
      </c>
      <c r="FK11" t="e">
        <f>AND(Sheet1!S93,"AAAAAFf2/6Y=")</f>
        <v>#VALUE!</v>
      </c>
      <c r="FL11" t="e">
        <f>AND(Sheet1!T93,"AAAAAFf2/6c=")</f>
        <v>#VALUE!</v>
      </c>
      <c r="FM11" t="e">
        <f>AND(Sheet1!U93,"AAAAAFf2/6g=")</f>
        <v>#VALUE!</v>
      </c>
      <c r="FN11" t="e">
        <f>AND(Sheet1!V93,"AAAAAFf2/6k=")</f>
        <v>#VALUE!</v>
      </c>
      <c r="FO11" t="e">
        <f>AND(Sheet1!W93,"AAAAAFf2/6o=")</f>
        <v>#VALUE!</v>
      </c>
      <c r="FP11" t="e">
        <f>AND(Sheet1!X93,"AAAAAFf2/6s=")</f>
        <v>#VALUE!</v>
      </c>
      <c r="FQ11" t="e">
        <f>AND(Sheet1!Y93,"AAAAAFf2/6w=")</f>
        <v>#VALUE!</v>
      </c>
      <c r="FR11" t="e">
        <f>AND(Sheet1!Z93,"AAAAAFf2/60=")</f>
        <v>#VALUE!</v>
      </c>
      <c r="FS11" t="e">
        <f>AND(Sheet1!AA93,"AAAAAFf2/64=")</f>
        <v>#VALUE!</v>
      </c>
      <c r="FT11" t="e">
        <f>AND(Sheet1!AB93,"AAAAAFf2/68=")</f>
        <v>#VALUE!</v>
      </c>
      <c r="FU11">
        <f>IF(Sheet1!94:94,"AAAAAFf2/7A=",0)</f>
        <v>0</v>
      </c>
      <c r="FV11" t="e">
        <f>AND(Sheet1!A94,"AAAAAFf2/7E=")</f>
        <v>#VALUE!</v>
      </c>
      <c r="FW11" t="e">
        <f>AND(Sheet1!B94,"AAAAAFf2/7I=")</f>
        <v>#VALUE!</v>
      </c>
      <c r="FX11" t="e">
        <f>AND(Sheet1!C94,"AAAAAFf2/7M=")</f>
        <v>#VALUE!</v>
      </c>
      <c r="FY11" t="e">
        <f>AND(Sheet1!D94,"AAAAAFf2/7Q=")</f>
        <v>#VALUE!</v>
      </c>
      <c r="FZ11" t="e">
        <f>AND(Sheet1!E94,"AAAAAFf2/7U=")</f>
        <v>#VALUE!</v>
      </c>
      <c r="GA11" t="e">
        <f>AND(Sheet1!F94,"AAAAAFf2/7Y=")</f>
        <v>#VALUE!</v>
      </c>
      <c r="GB11" t="e">
        <f>AND(Sheet1!G94,"AAAAAFf2/7c=")</f>
        <v>#VALUE!</v>
      </c>
      <c r="GC11" t="e">
        <f>AND(Sheet1!H94,"AAAAAFf2/7g=")</f>
        <v>#VALUE!</v>
      </c>
      <c r="GD11" t="e">
        <f>AND(Sheet1!I94,"AAAAAFf2/7k=")</f>
        <v>#VALUE!</v>
      </c>
      <c r="GE11" t="e">
        <f>AND(Sheet1!J94,"AAAAAFf2/7o=")</f>
        <v>#VALUE!</v>
      </c>
      <c r="GF11" t="e">
        <f>AND(Sheet1!K94,"AAAAAFf2/7s=")</f>
        <v>#VALUE!</v>
      </c>
      <c r="GG11" t="e">
        <f>AND(Sheet1!L94,"AAAAAFf2/7w=")</f>
        <v>#VALUE!</v>
      </c>
      <c r="GH11" t="e">
        <f>AND(Sheet1!M94,"AAAAAFf2/70=")</f>
        <v>#VALUE!</v>
      </c>
      <c r="GI11" t="e">
        <f>AND(Sheet1!N94,"AAAAAFf2/74=")</f>
        <v>#VALUE!</v>
      </c>
      <c r="GJ11" t="e">
        <f>AND(Sheet1!O94,"AAAAAFf2/78=")</f>
        <v>#VALUE!</v>
      </c>
      <c r="GK11" t="e">
        <f>AND(Sheet1!P94,"AAAAAFf2/8A=")</f>
        <v>#VALUE!</v>
      </c>
      <c r="GL11" t="e">
        <f>AND(Sheet1!Q94,"AAAAAFf2/8E=")</f>
        <v>#VALUE!</v>
      </c>
      <c r="GM11" t="e">
        <f>AND(Sheet1!R94,"AAAAAFf2/8I=")</f>
        <v>#VALUE!</v>
      </c>
      <c r="GN11" t="e">
        <f>AND(Sheet1!S94,"AAAAAFf2/8M=")</f>
        <v>#VALUE!</v>
      </c>
      <c r="GO11" t="e">
        <f>AND(Sheet1!T94,"AAAAAFf2/8Q=")</f>
        <v>#VALUE!</v>
      </c>
      <c r="GP11" t="e">
        <f>AND(Sheet1!U94,"AAAAAFf2/8U=")</f>
        <v>#VALUE!</v>
      </c>
      <c r="GQ11" t="e">
        <f>AND(Sheet1!V94,"AAAAAFf2/8Y=")</f>
        <v>#VALUE!</v>
      </c>
      <c r="GR11" t="e">
        <f>AND(Sheet1!W94,"AAAAAFf2/8c=")</f>
        <v>#VALUE!</v>
      </c>
      <c r="GS11" t="e">
        <f>AND(Sheet1!X94,"AAAAAFf2/8g=")</f>
        <v>#VALUE!</v>
      </c>
      <c r="GT11" t="e">
        <f>AND(Sheet1!Y94,"AAAAAFf2/8k=")</f>
        <v>#VALUE!</v>
      </c>
      <c r="GU11" t="e">
        <f>AND(Sheet1!Z94,"AAAAAFf2/8o=")</f>
        <v>#VALUE!</v>
      </c>
      <c r="GV11" t="e">
        <f>AND(Sheet1!AA94,"AAAAAFf2/8s=")</f>
        <v>#VALUE!</v>
      </c>
      <c r="GW11" t="e">
        <f>AND(Sheet1!AB94,"AAAAAFf2/8w=")</f>
        <v>#VALUE!</v>
      </c>
      <c r="GX11">
        <f>IF(Sheet1!95:95,"AAAAAFf2/80=",0)</f>
        <v>0</v>
      </c>
      <c r="GY11" t="e">
        <f>AND(Sheet1!A95,"AAAAAFf2/84=")</f>
        <v>#VALUE!</v>
      </c>
      <c r="GZ11" t="e">
        <f>AND(Sheet1!B95,"AAAAAFf2/88=")</f>
        <v>#VALUE!</v>
      </c>
      <c r="HA11" t="e">
        <f>AND(Sheet1!C95,"AAAAAFf2/9A=")</f>
        <v>#VALUE!</v>
      </c>
      <c r="HB11" t="e">
        <f>AND(Sheet1!D95,"AAAAAFf2/9E=")</f>
        <v>#VALUE!</v>
      </c>
      <c r="HC11" t="e">
        <f>AND(Sheet1!E95,"AAAAAFf2/9I=")</f>
        <v>#VALUE!</v>
      </c>
      <c r="HD11" t="e">
        <f>AND(Sheet1!F95,"AAAAAFf2/9M=")</f>
        <v>#VALUE!</v>
      </c>
      <c r="HE11" t="e">
        <f>AND(Sheet1!G95,"AAAAAFf2/9Q=")</f>
        <v>#VALUE!</v>
      </c>
      <c r="HF11" t="e">
        <f>AND(Sheet1!H95,"AAAAAFf2/9U=")</f>
        <v>#VALUE!</v>
      </c>
      <c r="HG11" t="e">
        <f>AND(Sheet1!I95,"AAAAAFf2/9Y=")</f>
        <v>#VALUE!</v>
      </c>
      <c r="HH11" t="e">
        <f>AND(Sheet1!J95,"AAAAAFf2/9c=")</f>
        <v>#VALUE!</v>
      </c>
      <c r="HI11" t="e">
        <f>AND(Sheet1!K95,"AAAAAFf2/9g=")</f>
        <v>#VALUE!</v>
      </c>
      <c r="HJ11" t="e">
        <f>AND(Sheet1!L95,"AAAAAFf2/9k=")</f>
        <v>#VALUE!</v>
      </c>
      <c r="HK11" t="e">
        <f>AND(Sheet1!M95,"AAAAAFf2/9o=")</f>
        <v>#VALUE!</v>
      </c>
      <c r="HL11" t="e">
        <f>AND(Sheet1!N95,"AAAAAFf2/9s=")</f>
        <v>#VALUE!</v>
      </c>
      <c r="HM11" t="e">
        <f>AND(Sheet1!O95,"AAAAAFf2/9w=")</f>
        <v>#VALUE!</v>
      </c>
      <c r="HN11" t="e">
        <f>AND(Sheet1!P95,"AAAAAFf2/90=")</f>
        <v>#VALUE!</v>
      </c>
      <c r="HO11" t="e">
        <f>AND(Sheet1!Q95,"AAAAAFf2/94=")</f>
        <v>#VALUE!</v>
      </c>
      <c r="HP11" t="e">
        <f>AND(Sheet1!R95,"AAAAAFf2/98=")</f>
        <v>#VALUE!</v>
      </c>
      <c r="HQ11" t="e">
        <f>AND(Sheet1!S95,"AAAAAFf2/+A=")</f>
        <v>#VALUE!</v>
      </c>
      <c r="HR11" t="e">
        <f>AND(Sheet1!T95,"AAAAAFf2/+E=")</f>
        <v>#VALUE!</v>
      </c>
      <c r="HS11" t="e">
        <f>AND(Sheet1!U95,"AAAAAFf2/+I=")</f>
        <v>#VALUE!</v>
      </c>
      <c r="HT11" t="e">
        <f>AND(Sheet1!V95,"AAAAAFf2/+M=")</f>
        <v>#VALUE!</v>
      </c>
      <c r="HU11" t="e">
        <f>AND(Sheet1!W95,"AAAAAFf2/+Q=")</f>
        <v>#VALUE!</v>
      </c>
      <c r="HV11" t="e">
        <f>AND(Sheet1!X95,"AAAAAFf2/+U=")</f>
        <v>#VALUE!</v>
      </c>
      <c r="HW11" t="e">
        <f>AND(Sheet1!Y95,"AAAAAFf2/+Y=")</f>
        <v>#VALUE!</v>
      </c>
      <c r="HX11" t="e">
        <f>AND(Sheet1!Z95,"AAAAAFf2/+c=")</f>
        <v>#VALUE!</v>
      </c>
      <c r="HY11" t="e">
        <f>AND(Sheet1!AA95,"AAAAAFf2/+g=")</f>
        <v>#VALUE!</v>
      </c>
      <c r="HZ11" t="e">
        <f>AND(Sheet1!AB95,"AAAAAFf2/+k=")</f>
        <v>#VALUE!</v>
      </c>
      <c r="IA11">
        <f>IF(Sheet1!96:96,"AAAAAFf2/+o=",0)</f>
        <v>0</v>
      </c>
      <c r="IB11" t="e">
        <f>AND(Sheet1!A96,"AAAAAFf2/+s=")</f>
        <v>#VALUE!</v>
      </c>
      <c r="IC11" t="e">
        <f>AND(Sheet1!B96,"AAAAAFf2/+w=")</f>
        <v>#VALUE!</v>
      </c>
      <c r="ID11" t="e">
        <f>AND(Sheet1!C96,"AAAAAFf2/+0=")</f>
        <v>#VALUE!</v>
      </c>
      <c r="IE11" t="e">
        <f>AND(Sheet1!D96,"AAAAAFf2/+4=")</f>
        <v>#VALUE!</v>
      </c>
      <c r="IF11" t="e">
        <f>AND(Sheet1!E96,"AAAAAFf2/+8=")</f>
        <v>#VALUE!</v>
      </c>
      <c r="IG11" t="e">
        <f>AND(Sheet1!F96,"AAAAAFf2//A=")</f>
        <v>#VALUE!</v>
      </c>
      <c r="IH11" t="e">
        <f>AND(Sheet1!G96,"AAAAAFf2//E=")</f>
        <v>#VALUE!</v>
      </c>
      <c r="II11" t="e">
        <f>AND(Sheet1!H96,"AAAAAFf2//I=")</f>
        <v>#VALUE!</v>
      </c>
      <c r="IJ11" t="e">
        <f>AND(Sheet1!I96,"AAAAAFf2//M=")</f>
        <v>#VALUE!</v>
      </c>
      <c r="IK11" t="e">
        <f>AND(Sheet1!J96,"AAAAAFf2//Q=")</f>
        <v>#VALUE!</v>
      </c>
      <c r="IL11" t="e">
        <f>AND(Sheet1!K96,"AAAAAFf2//U=")</f>
        <v>#VALUE!</v>
      </c>
      <c r="IM11" t="e">
        <f>AND(Sheet1!L96,"AAAAAFf2//Y=")</f>
        <v>#VALUE!</v>
      </c>
      <c r="IN11" t="e">
        <f>AND(Sheet1!M96,"AAAAAFf2//c=")</f>
        <v>#VALUE!</v>
      </c>
      <c r="IO11" t="e">
        <f>AND(Sheet1!N96,"AAAAAFf2//g=")</f>
        <v>#VALUE!</v>
      </c>
      <c r="IP11" t="e">
        <f>AND(Sheet1!O96,"AAAAAFf2//k=")</f>
        <v>#VALUE!</v>
      </c>
      <c r="IQ11" t="e">
        <f>AND(Sheet1!P96,"AAAAAFf2//o=")</f>
        <v>#VALUE!</v>
      </c>
      <c r="IR11" t="e">
        <f>AND(Sheet1!Q96,"AAAAAFf2//s=")</f>
        <v>#VALUE!</v>
      </c>
      <c r="IS11" t="e">
        <f>AND(Sheet1!R96,"AAAAAFf2//w=")</f>
        <v>#VALUE!</v>
      </c>
      <c r="IT11" t="e">
        <f>AND(Sheet1!S96,"AAAAAFf2//0=")</f>
        <v>#VALUE!</v>
      </c>
      <c r="IU11" t="e">
        <f>AND(Sheet1!T96,"AAAAAFf2//4=")</f>
        <v>#VALUE!</v>
      </c>
      <c r="IV11" t="e">
        <f>AND(Sheet1!U96,"AAAAAFf2//8=")</f>
        <v>#VALUE!</v>
      </c>
    </row>
    <row r="12" spans="1:256" ht="12.75">
      <c r="A12" t="e">
        <f>AND(Sheet1!V96,"AAAAAH/3/gA=")</f>
        <v>#VALUE!</v>
      </c>
      <c r="B12" t="e">
        <f>AND(Sheet1!W96,"AAAAAH/3/gE=")</f>
        <v>#VALUE!</v>
      </c>
      <c r="C12" t="e">
        <f>AND(Sheet1!X96,"AAAAAH/3/gI=")</f>
        <v>#VALUE!</v>
      </c>
      <c r="D12" t="e">
        <f>AND(Sheet1!Y96,"AAAAAH/3/gM=")</f>
        <v>#VALUE!</v>
      </c>
      <c r="E12" t="e">
        <f>AND(Sheet1!Z96,"AAAAAH/3/gQ=")</f>
        <v>#VALUE!</v>
      </c>
      <c r="F12" t="e">
        <f>AND(Sheet1!AA96,"AAAAAH/3/gU=")</f>
        <v>#VALUE!</v>
      </c>
      <c r="G12" t="e">
        <f>AND(Sheet1!AB96,"AAAAAH/3/gY=")</f>
        <v>#VALUE!</v>
      </c>
      <c r="H12">
        <f>IF(Sheet1!97:97,"AAAAAH/3/gc=",0)</f>
        <v>0</v>
      </c>
      <c r="I12" t="e">
        <f>AND(Sheet1!A97,"AAAAAH/3/gg=")</f>
        <v>#VALUE!</v>
      </c>
      <c r="J12" t="e">
        <f>AND(Sheet1!B97,"AAAAAH/3/gk=")</f>
        <v>#VALUE!</v>
      </c>
      <c r="K12" t="e">
        <f>AND(Sheet1!C97,"AAAAAH/3/go=")</f>
        <v>#VALUE!</v>
      </c>
      <c r="L12" t="e">
        <f>AND(Sheet1!D97,"AAAAAH/3/gs=")</f>
        <v>#VALUE!</v>
      </c>
      <c r="M12" t="e">
        <f>AND(Sheet1!E97,"AAAAAH/3/gw=")</f>
        <v>#VALUE!</v>
      </c>
      <c r="N12" t="e">
        <f>AND(Sheet1!F97,"AAAAAH/3/g0=")</f>
        <v>#VALUE!</v>
      </c>
      <c r="O12" t="e">
        <f>AND(Sheet1!G97,"AAAAAH/3/g4=")</f>
        <v>#VALUE!</v>
      </c>
      <c r="P12" t="e">
        <f>AND(Sheet1!H97,"AAAAAH/3/g8=")</f>
        <v>#VALUE!</v>
      </c>
      <c r="Q12" t="e">
        <f>AND(Sheet1!I97,"AAAAAH/3/hA=")</f>
        <v>#VALUE!</v>
      </c>
      <c r="R12" t="e">
        <f>AND(Sheet1!J97,"AAAAAH/3/hE=")</f>
        <v>#VALUE!</v>
      </c>
      <c r="S12" t="e">
        <f>AND(Sheet1!K97,"AAAAAH/3/hI=")</f>
        <v>#VALUE!</v>
      </c>
      <c r="T12" t="e">
        <f>AND(Sheet1!L97,"AAAAAH/3/hM=")</f>
        <v>#VALUE!</v>
      </c>
      <c r="U12" t="e">
        <f>AND(Sheet1!M97,"AAAAAH/3/hQ=")</f>
        <v>#VALUE!</v>
      </c>
      <c r="V12" t="e">
        <f>AND(Sheet1!N97,"AAAAAH/3/hU=")</f>
        <v>#VALUE!</v>
      </c>
      <c r="W12" t="e">
        <f>AND(Sheet1!O97,"AAAAAH/3/hY=")</f>
        <v>#VALUE!</v>
      </c>
      <c r="X12" t="e">
        <f>AND(Sheet1!P97,"AAAAAH/3/hc=")</f>
        <v>#VALUE!</v>
      </c>
      <c r="Y12" t="e">
        <f>AND(Sheet1!Q97,"AAAAAH/3/hg=")</f>
        <v>#VALUE!</v>
      </c>
      <c r="Z12" t="e">
        <f>AND(Sheet1!R97,"AAAAAH/3/hk=")</f>
        <v>#VALUE!</v>
      </c>
      <c r="AA12" t="e">
        <f>AND(Sheet1!S97,"AAAAAH/3/ho=")</f>
        <v>#VALUE!</v>
      </c>
      <c r="AB12" t="e">
        <f>AND(Sheet1!T97,"AAAAAH/3/hs=")</f>
        <v>#VALUE!</v>
      </c>
      <c r="AC12" t="e">
        <f>AND(Sheet1!U97,"AAAAAH/3/hw=")</f>
        <v>#VALUE!</v>
      </c>
      <c r="AD12" t="e">
        <f>AND(Sheet1!V97,"AAAAAH/3/h0=")</f>
        <v>#VALUE!</v>
      </c>
      <c r="AE12" t="e">
        <f>AND(Sheet1!W97,"AAAAAH/3/h4=")</f>
        <v>#VALUE!</v>
      </c>
      <c r="AF12" t="e">
        <f>AND(Sheet1!X97,"AAAAAH/3/h8=")</f>
        <v>#VALUE!</v>
      </c>
      <c r="AG12" t="e">
        <f>AND(Sheet1!Y97,"AAAAAH/3/iA=")</f>
        <v>#VALUE!</v>
      </c>
      <c r="AH12" t="e">
        <f>AND(Sheet1!Z97,"AAAAAH/3/iE=")</f>
        <v>#VALUE!</v>
      </c>
      <c r="AI12" t="e">
        <f>AND(Sheet1!AA97,"AAAAAH/3/iI=")</f>
        <v>#VALUE!</v>
      </c>
      <c r="AJ12" t="e">
        <f>AND(Sheet1!AB97,"AAAAAH/3/iM=")</f>
        <v>#VALUE!</v>
      </c>
      <c r="AK12">
        <f>IF(Sheet1!98:98,"AAAAAH/3/iQ=",0)</f>
        <v>0</v>
      </c>
      <c r="AL12" t="e">
        <f>AND(Sheet1!A98,"AAAAAH/3/iU=")</f>
        <v>#VALUE!</v>
      </c>
      <c r="AM12" t="e">
        <f>AND(Sheet1!B98,"AAAAAH/3/iY=")</f>
        <v>#VALUE!</v>
      </c>
      <c r="AN12" t="e">
        <f>AND(Sheet1!C98,"AAAAAH/3/ic=")</f>
        <v>#VALUE!</v>
      </c>
      <c r="AO12" t="e">
        <f>AND(Sheet1!D98,"AAAAAH/3/ig=")</f>
        <v>#VALUE!</v>
      </c>
      <c r="AP12" t="e">
        <f>AND(Sheet1!E98,"AAAAAH/3/ik=")</f>
        <v>#VALUE!</v>
      </c>
      <c r="AQ12" t="e">
        <f>AND(Sheet1!F98,"AAAAAH/3/io=")</f>
        <v>#VALUE!</v>
      </c>
      <c r="AR12" t="e">
        <f>AND(Sheet1!G98,"AAAAAH/3/is=")</f>
        <v>#VALUE!</v>
      </c>
      <c r="AS12" t="e">
        <f>AND(Sheet1!H98,"AAAAAH/3/iw=")</f>
        <v>#VALUE!</v>
      </c>
      <c r="AT12" t="e">
        <f>AND(Sheet1!I98,"AAAAAH/3/i0=")</f>
        <v>#VALUE!</v>
      </c>
      <c r="AU12" t="e">
        <f>AND(Sheet1!J98,"AAAAAH/3/i4=")</f>
        <v>#VALUE!</v>
      </c>
      <c r="AV12" t="e">
        <f>AND(Sheet1!K98,"AAAAAH/3/i8=")</f>
        <v>#VALUE!</v>
      </c>
      <c r="AW12" t="e">
        <f>AND(Sheet1!L98,"AAAAAH/3/jA=")</f>
        <v>#VALUE!</v>
      </c>
      <c r="AX12" t="e">
        <f>AND(Sheet1!M98,"AAAAAH/3/jE=")</f>
        <v>#VALUE!</v>
      </c>
      <c r="AY12" t="e">
        <f>AND(Sheet1!N98,"AAAAAH/3/jI=")</f>
        <v>#VALUE!</v>
      </c>
      <c r="AZ12" t="e">
        <f>AND(Sheet1!O98,"AAAAAH/3/jM=")</f>
        <v>#VALUE!</v>
      </c>
      <c r="BA12" t="e">
        <f>AND(Sheet1!P98,"AAAAAH/3/jQ=")</f>
        <v>#VALUE!</v>
      </c>
      <c r="BB12" t="e">
        <f>AND(Sheet1!Q98,"AAAAAH/3/jU=")</f>
        <v>#VALUE!</v>
      </c>
      <c r="BC12" t="e">
        <f>AND(Sheet1!R98,"AAAAAH/3/jY=")</f>
        <v>#VALUE!</v>
      </c>
      <c r="BD12" t="e">
        <f>AND(Sheet1!S98,"AAAAAH/3/jc=")</f>
        <v>#VALUE!</v>
      </c>
      <c r="BE12" t="e">
        <f>AND(Sheet1!T98,"AAAAAH/3/jg=")</f>
        <v>#VALUE!</v>
      </c>
      <c r="BF12" t="e">
        <f>AND(Sheet1!U98,"AAAAAH/3/jk=")</f>
        <v>#VALUE!</v>
      </c>
      <c r="BG12" t="e">
        <f>AND(Sheet1!V98,"AAAAAH/3/jo=")</f>
        <v>#VALUE!</v>
      </c>
      <c r="BH12" t="e">
        <f>AND(Sheet1!W98,"AAAAAH/3/js=")</f>
        <v>#VALUE!</v>
      </c>
      <c r="BI12" t="e">
        <f>AND(Sheet1!X98,"AAAAAH/3/jw=")</f>
        <v>#VALUE!</v>
      </c>
      <c r="BJ12" t="e">
        <f>AND(Sheet1!Y98,"AAAAAH/3/j0=")</f>
        <v>#VALUE!</v>
      </c>
      <c r="BK12" t="e">
        <f>AND(Sheet1!Z98,"AAAAAH/3/j4=")</f>
        <v>#VALUE!</v>
      </c>
      <c r="BL12" t="e">
        <f>AND(Sheet1!AA98,"AAAAAH/3/j8=")</f>
        <v>#VALUE!</v>
      </c>
      <c r="BM12" t="e">
        <f>AND(Sheet1!AB98,"AAAAAH/3/kA=")</f>
        <v>#VALUE!</v>
      </c>
      <c r="BN12">
        <f>IF(Sheet1!99:99,"AAAAAH/3/kE=",0)</f>
        <v>0</v>
      </c>
      <c r="BO12" t="e">
        <f>AND(Sheet1!A99,"AAAAAH/3/kI=")</f>
        <v>#VALUE!</v>
      </c>
      <c r="BP12" t="e">
        <f>AND(Sheet1!B99,"AAAAAH/3/kM=")</f>
        <v>#VALUE!</v>
      </c>
      <c r="BQ12" t="e">
        <f>AND(Sheet1!C99,"AAAAAH/3/kQ=")</f>
        <v>#VALUE!</v>
      </c>
      <c r="BR12" t="e">
        <f>AND(Sheet1!D99,"AAAAAH/3/kU=")</f>
        <v>#VALUE!</v>
      </c>
      <c r="BS12" t="e">
        <f>AND(Sheet1!E99,"AAAAAH/3/kY=")</f>
        <v>#VALUE!</v>
      </c>
      <c r="BT12" t="e">
        <f>AND(Sheet1!F99,"AAAAAH/3/kc=")</f>
        <v>#VALUE!</v>
      </c>
      <c r="BU12" t="e">
        <f>AND(Sheet1!G99,"AAAAAH/3/kg=")</f>
        <v>#VALUE!</v>
      </c>
      <c r="BV12" t="e">
        <f>AND(Sheet1!H99,"AAAAAH/3/kk=")</f>
        <v>#VALUE!</v>
      </c>
      <c r="BW12" t="e">
        <f>AND(Sheet1!I99,"AAAAAH/3/ko=")</f>
        <v>#VALUE!</v>
      </c>
      <c r="BX12" t="e">
        <f>AND(Sheet1!J99,"AAAAAH/3/ks=")</f>
        <v>#VALUE!</v>
      </c>
      <c r="BY12" t="e">
        <f>AND(Sheet1!K99,"AAAAAH/3/kw=")</f>
        <v>#VALUE!</v>
      </c>
      <c r="BZ12" t="e">
        <f>AND(Sheet1!L99,"AAAAAH/3/k0=")</f>
        <v>#VALUE!</v>
      </c>
      <c r="CA12" t="e">
        <f>AND(Sheet1!M99,"AAAAAH/3/k4=")</f>
        <v>#VALUE!</v>
      </c>
      <c r="CB12" t="e">
        <f>AND(Sheet1!N99,"AAAAAH/3/k8=")</f>
        <v>#VALUE!</v>
      </c>
      <c r="CC12" t="e">
        <f>AND(Sheet1!O99,"AAAAAH/3/lA=")</f>
        <v>#VALUE!</v>
      </c>
      <c r="CD12" t="e">
        <f>AND(Sheet1!P99,"AAAAAH/3/lE=")</f>
        <v>#VALUE!</v>
      </c>
      <c r="CE12" t="e">
        <f>AND(Sheet1!Q99,"AAAAAH/3/lI=")</f>
        <v>#VALUE!</v>
      </c>
      <c r="CF12" t="e">
        <f>AND(Sheet1!R99,"AAAAAH/3/lM=")</f>
        <v>#VALUE!</v>
      </c>
      <c r="CG12" t="e">
        <f>AND(Sheet1!S99,"AAAAAH/3/lQ=")</f>
        <v>#VALUE!</v>
      </c>
      <c r="CH12" t="e">
        <f>AND(Sheet1!T99,"AAAAAH/3/lU=")</f>
        <v>#VALUE!</v>
      </c>
      <c r="CI12" t="e">
        <f>AND(Sheet1!U99,"AAAAAH/3/lY=")</f>
        <v>#VALUE!</v>
      </c>
      <c r="CJ12" t="e">
        <f>AND(Sheet1!V99,"AAAAAH/3/lc=")</f>
        <v>#VALUE!</v>
      </c>
      <c r="CK12" t="e">
        <f>AND(Sheet1!W99,"AAAAAH/3/lg=")</f>
        <v>#VALUE!</v>
      </c>
      <c r="CL12" t="e">
        <f>AND(Sheet1!X99,"AAAAAH/3/lk=")</f>
        <v>#VALUE!</v>
      </c>
      <c r="CM12" t="e">
        <f>AND(Sheet1!Y99,"AAAAAH/3/lo=")</f>
        <v>#VALUE!</v>
      </c>
      <c r="CN12" t="e">
        <f>AND(Sheet1!Z99,"AAAAAH/3/ls=")</f>
        <v>#VALUE!</v>
      </c>
      <c r="CO12" t="e">
        <f>AND(Sheet1!AA99,"AAAAAH/3/lw=")</f>
        <v>#VALUE!</v>
      </c>
      <c r="CP12" t="e">
        <f>AND(Sheet1!AB99,"AAAAAH/3/l0=")</f>
        <v>#VALUE!</v>
      </c>
      <c r="CQ12">
        <f>IF(Sheet1!100:100,"AAAAAH/3/l4=",0)</f>
        <v>0</v>
      </c>
      <c r="CR12" t="e">
        <f>AND(Sheet1!A100,"AAAAAH/3/l8=")</f>
        <v>#VALUE!</v>
      </c>
      <c r="CS12" t="e">
        <f>AND(Sheet1!B100,"AAAAAH/3/mA=")</f>
        <v>#VALUE!</v>
      </c>
      <c r="CT12" t="e">
        <f>AND(Sheet1!C100,"AAAAAH/3/mE=")</f>
        <v>#VALUE!</v>
      </c>
      <c r="CU12" t="e">
        <f>AND(Sheet1!D100,"AAAAAH/3/mI=")</f>
        <v>#VALUE!</v>
      </c>
      <c r="CV12" t="e">
        <f>AND(Sheet1!E100,"AAAAAH/3/mM=")</f>
        <v>#VALUE!</v>
      </c>
      <c r="CW12" t="e">
        <f>AND(Sheet1!F100,"AAAAAH/3/mQ=")</f>
        <v>#VALUE!</v>
      </c>
      <c r="CX12" t="e">
        <f>AND(Sheet1!G100,"AAAAAH/3/mU=")</f>
        <v>#VALUE!</v>
      </c>
      <c r="CY12" t="e">
        <f>AND(Sheet1!H100,"AAAAAH/3/mY=")</f>
        <v>#VALUE!</v>
      </c>
      <c r="CZ12" t="e">
        <f>AND(Sheet1!I100,"AAAAAH/3/mc=")</f>
        <v>#VALUE!</v>
      </c>
      <c r="DA12" t="e">
        <f>AND(Sheet1!J100,"AAAAAH/3/mg=")</f>
        <v>#VALUE!</v>
      </c>
      <c r="DB12" t="e">
        <f>AND(Sheet1!K100,"AAAAAH/3/mk=")</f>
        <v>#VALUE!</v>
      </c>
      <c r="DC12" t="e">
        <f>AND(Sheet1!L100,"AAAAAH/3/mo=")</f>
        <v>#VALUE!</v>
      </c>
      <c r="DD12" t="e">
        <f>AND(Sheet1!M100,"AAAAAH/3/ms=")</f>
        <v>#VALUE!</v>
      </c>
      <c r="DE12" t="e">
        <f>AND(Sheet1!N100,"AAAAAH/3/mw=")</f>
        <v>#VALUE!</v>
      </c>
      <c r="DF12" t="e">
        <f>AND(Sheet1!O100,"AAAAAH/3/m0=")</f>
        <v>#VALUE!</v>
      </c>
      <c r="DG12" t="e">
        <f>AND(Sheet1!P100,"AAAAAH/3/m4=")</f>
        <v>#VALUE!</v>
      </c>
      <c r="DH12" t="e">
        <f>AND(Sheet1!Q100,"AAAAAH/3/m8=")</f>
        <v>#VALUE!</v>
      </c>
      <c r="DI12" t="e">
        <f>AND(Sheet1!R100,"AAAAAH/3/nA=")</f>
        <v>#VALUE!</v>
      </c>
      <c r="DJ12" t="e">
        <f>AND(Sheet1!S100,"AAAAAH/3/nE=")</f>
        <v>#VALUE!</v>
      </c>
      <c r="DK12" t="e">
        <f>AND(Sheet1!T100,"AAAAAH/3/nI=")</f>
        <v>#VALUE!</v>
      </c>
      <c r="DL12" t="e">
        <f>AND(Sheet1!U100,"AAAAAH/3/nM=")</f>
        <v>#VALUE!</v>
      </c>
      <c r="DM12" t="e">
        <f>AND(Sheet1!V100,"AAAAAH/3/nQ=")</f>
        <v>#VALUE!</v>
      </c>
      <c r="DN12" t="e">
        <f>AND(Sheet1!W100,"AAAAAH/3/nU=")</f>
        <v>#VALUE!</v>
      </c>
      <c r="DO12" t="e">
        <f>AND(Sheet1!X100,"AAAAAH/3/nY=")</f>
        <v>#VALUE!</v>
      </c>
      <c r="DP12" t="e">
        <f>AND(Sheet1!Y100,"AAAAAH/3/nc=")</f>
        <v>#VALUE!</v>
      </c>
      <c r="DQ12" t="e">
        <f>AND(Sheet1!Z100,"AAAAAH/3/ng=")</f>
        <v>#VALUE!</v>
      </c>
      <c r="DR12" t="e">
        <f>AND(Sheet1!AA100,"AAAAAH/3/nk=")</f>
        <v>#VALUE!</v>
      </c>
      <c r="DS12" t="e">
        <f>AND(Sheet1!AB100,"AAAAAH/3/no=")</f>
        <v>#VALUE!</v>
      </c>
      <c r="DT12">
        <f>IF(Sheet1!101:101,"AAAAAH/3/ns=",0)</f>
        <v>0</v>
      </c>
      <c r="DU12" t="e">
        <f>AND(Sheet1!A101,"AAAAAH/3/nw=")</f>
        <v>#VALUE!</v>
      </c>
      <c r="DV12" t="e">
        <f>AND(Sheet1!B101,"AAAAAH/3/n0=")</f>
        <v>#VALUE!</v>
      </c>
      <c r="DW12" t="e">
        <f>AND(Sheet1!C101,"AAAAAH/3/n4=")</f>
        <v>#VALUE!</v>
      </c>
      <c r="DX12" t="e">
        <f>AND(Sheet1!D101,"AAAAAH/3/n8=")</f>
        <v>#VALUE!</v>
      </c>
      <c r="DY12" t="e">
        <f>AND(Sheet1!E101,"AAAAAH/3/oA=")</f>
        <v>#VALUE!</v>
      </c>
      <c r="DZ12" t="e">
        <f>AND(Sheet1!F101,"AAAAAH/3/oE=")</f>
        <v>#VALUE!</v>
      </c>
      <c r="EA12" t="e">
        <f>AND(Sheet1!G101,"AAAAAH/3/oI=")</f>
        <v>#VALUE!</v>
      </c>
      <c r="EB12" t="e">
        <f>AND(Sheet1!H101,"AAAAAH/3/oM=")</f>
        <v>#VALUE!</v>
      </c>
      <c r="EC12" t="e">
        <f>AND(Sheet1!I101,"AAAAAH/3/oQ=")</f>
        <v>#VALUE!</v>
      </c>
      <c r="ED12" t="e">
        <f>AND(Sheet1!J101,"AAAAAH/3/oU=")</f>
        <v>#VALUE!</v>
      </c>
      <c r="EE12" t="e">
        <f>AND(Sheet1!K101,"AAAAAH/3/oY=")</f>
        <v>#VALUE!</v>
      </c>
      <c r="EF12" t="e">
        <f>AND(Sheet1!L101,"AAAAAH/3/oc=")</f>
        <v>#VALUE!</v>
      </c>
      <c r="EG12" t="e">
        <f>AND(Sheet1!M101,"AAAAAH/3/og=")</f>
        <v>#VALUE!</v>
      </c>
      <c r="EH12" t="e">
        <f>AND(Sheet1!N101,"AAAAAH/3/ok=")</f>
        <v>#VALUE!</v>
      </c>
      <c r="EI12" t="e">
        <f>AND(Sheet1!O101,"AAAAAH/3/oo=")</f>
        <v>#VALUE!</v>
      </c>
      <c r="EJ12" t="e">
        <f>AND(Sheet1!P101,"AAAAAH/3/os=")</f>
        <v>#VALUE!</v>
      </c>
      <c r="EK12" t="e">
        <f>AND(Sheet1!Q101,"AAAAAH/3/ow=")</f>
        <v>#VALUE!</v>
      </c>
      <c r="EL12" t="e">
        <f>AND(Sheet1!R101,"AAAAAH/3/o0=")</f>
        <v>#VALUE!</v>
      </c>
      <c r="EM12" t="e">
        <f>AND(Sheet1!S101,"AAAAAH/3/o4=")</f>
        <v>#VALUE!</v>
      </c>
      <c r="EN12" t="e">
        <f>AND(Sheet1!T101,"AAAAAH/3/o8=")</f>
        <v>#VALUE!</v>
      </c>
      <c r="EO12" t="e">
        <f>AND(Sheet1!U101,"AAAAAH/3/pA=")</f>
        <v>#VALUE!</v>
      </c>
      <c r="EP12" t="e">
        <f>AND(Sheet1!V101,"AAAAAH/3/pE=")</f>
        <v>#VALUE!</v>
      </c>
      <c r="EQ12" t="e">
        <f>AND(Sheet1!W101,"AAAAAH/3/pI=")</f>
        <v>#VALUE!</v>
      </c>
      <c r="ER12" t="e">
        <f>AND(Sheet1!X101,"AAAAAH/3/pM=")</f>
        <v>#VALUE!</v>
      </c>
      <c r="ES12" t="e">
        <f>AND(Sheet1!Y101,"AAAAAH/3/pQ=")</f>
        <v>#VALUE!</v>
      </c>
      <c r="ET12" t="e">
        <f>AND(Sheet1!Z101,"AAAAAH/3/pU=")</f>
        <v>#VALUE!</v>
      </c>
      <c r="EU12" t="e">
        <f>AND(Sheet1!AA101,"AAAAAH/3/pY=")</f>
        <v>#VALUE!</v>
      </c>
      <c r="EV12" t="e">
        <f>AND(Sheet1!AB101,"AAAAAH/3/pc=")</f>
        <v>#VALUE!</v>
      </c>
      <c r="EW12">
        <f>IF(Sheet1!102:102,"AAAAAH/3/pg=",0)</f>
        <v>0</v>
      </c>
      <c r="EX12" t="e">
        <f>AND(Sheet1!A102,"AAAAAH/3/pk=")</f>
        <v>#VALUE!</v>
      </c>
      <c r="EY12" t="e">
        <f>AND(Sheet1!B102,"AAAAAH/3/po=")</f>
        <v>#VALUE!</v>
      </c>
      <c r="EZ12" t="e">
        <f>AND(Sheet1!C102,"AAAAAH/3/ps=")</f>
        <v>#VALUE!</v>
      </c>
      <c r="FA12" t="e">
        <f>AND(Sheet1!D102,"AAAAAH/3/pw=")</f>
        <v>#VALUE!</v>
      </c>
      <c r="FB12" t="e">
        <f>AND(Sheet1!E102,"AAAAAH/3/p0=")</f>
        <v>#VALUE!</v>
      </c>
      <c r="FC12" t="e">
        <f>AND(Sheet1!F102,"AAAAAH/3/p4=")</f>
        <v>#VALUE!</v>
      </c>
      <c r="FD12" t="e">
        <f>AND(Sheet1!G102,"AAAAAH/3/p8=")</f>
        <v>#VALUE!</v>
      </c>
      <c r="FE12" t="e">
        <f>AND(Sheet1!H102,"AAAAAH/3/qA=")</f>
        <v>#VALUE!</v>
      </c>
      <c r="FF12" t="e">
        <f>AND(Sheet1!I102,"AAAAAH/3/qE=")</f>
        <v>#VALUE!</v>
      </c>
      <c r="FG12" t="e">
        <f>AND(Sheet1!J102,"AAAAAH/3/qI=")</f>
        <v>#VALUE!</v>
      </c>
      <c r="FH12" t="e">
        <f>AND(Sheet1!K102,"AAAAAH/3/qM=")</f>
        <v>#VALUE!</v>
      </c>
      <c r="FI12" t="e">
        <f>AND(Sheet1!L102,"AAAAAH/3/qQ=")</f>
        <v>#VALUE!</v>
      </c>
      <c r="FJ12" t="e">
        <f>AND(Sheet1!M102,"AAAAAH/3/qU=")</f>
        <v>#VALUE!</v>
      </c>
      <c r="FK12" t="e">
        <f>AND(Sheet1!N102,"AAAAAH/3/qY=")</f>
        <v>#VALUE!</v>
      </c>
      <c r="FL12" t="e">
        <f>AND(Sheet1!O102,"AAAAAH/3/qc=")</f>
        <v>#VALUE!</v>
      </c>
      <c r="FM12" t="e">
        <f>AND(Sheet1!P102,"AAAAAH/3/qg=")</f>
        <v>#VALUE!</v>
      </c>
      <c r="FN12" t="e">
        <f>AND(Sheet1!Q102,"AAAAAH/3/qk=")</f>
        <v>#VALUE!</v>
      </c>
      <c r="FO12" t="e">
        <f>AND(Sheet1!R102,"AAAAAH/3/qo=")</f>
        <v>#VALUE!</v>
      </c>
      <c r="FP12" t="e">
        <f>AND(Sheet1!S102,"AAAAAH/3/qs=")</f>
        <v>#VALUE!</v>
      </c>
      <c r="FQ12" t="e">
        <f>AND(Sheet1!T102,"AAAAAH/3/qw=")</f>
        <v>#VALUE!</v>
      </c>
      <c r="FR12" t="e">
        <f>AND(Sheet1!U102,"AAAAAH/3/q0=")</f>
        <v>#VALUE!</v>
      </c>
      <c r="FS12" t="e">
        <f>AND(Sheet1!V102,"AAAAAH/3/q4=")</f>
        <v>#VALUE!</v>
      </c>
      <c r="FT12" t="e">
        <f>AND(Sheet1!W102,"AAAAAH/3/q8=")</f>
        <v>#VALUE!</v>
      </c>
      <c r="FU12" t="e">
        <f>AND(Sheet1!X102,"AAAAAH/3/rA=")</f>
        <v>#VALUE!</v>
      </c>
      <c r="FV12" t="e">
        <f>AND(Sheet1!Y102,"AAAAAH/3/rE=")</f>
        <v>#VALUE!</v>
      </c>
      <c r="FW12" t="e">
        <f>AND(Sheet1!Z102,"AAAAAH/3/rI=")</f>
        <v>#VALUE!</v>
      </c>
      <c r="FX12" t="e">
        <f>AND(Sheet1!AA102,"AAAAAH/3/rM=")</f>
        <v>#VALUE!</v>
      </c>
      <c r="FY12" t="e">
        <f>AND(Sheet1!AB102,"AAAAAH/3/rQ=")</f>
        <v>#VALUE!</v>
      </c>
      <c r="FZ12">
        <f>IF(Sheet1!103:103,"AAAAAH/3/rU=",0)</f>
        <v>0</v>
      </c>
      <c r="GA12" t="e">
        <f>AND(Sheet1!A103,"AAAAAH/3/rY=")</f>
        <v>#VALUE!</v>
      </c>
      <c r="GB12" t="e">
        <f>AND(Sheet1!B103,"AAAAAH/3/rc=")</f>
        <v>#VALUE!</v>
      </c>
      <c r="GC12" t="e">
        <f>AND(Sheet1!C103,"AAAAAH/3/rg=")</f>
        <v>#VALUE!</v>
      </c>
      <c r="GD12" t="e">
        <f>AND(Sheet1!D103,"AAAAAH/3/rk=")</f>
        <v>#VALUE!</v>
      </c>
      <c r="GE12" t="e">
        <f>AND(Sheet1!E103,"AAAAAH/3/ro=")</f>
        <v>#VALUE!</v>
      </c>
      <c r="GF12" t="e">
        <f>AND(Sheet1!F103,"AAAAAH/3/rs=")</f>
        <v>#VALUE!</v>
      </c>
      <c r="GG12" t="e">
        <f>AND(Sheet1!G103,"AAAAAH/3/rw=")</f>
        <v>#VALUE!</v>
      </c>
      <c r="GH12" t="e">
        <f>AND(Sheet1!H103,"AAAAAH/3/r0=")</f>
        <v>#VALUE!</v>
      </c>
      <c r="GI12" t="e">
        <f>AND(Sheet1!I103,"AAAAAH/3/r4=")</f>
        <v>#VALUE!</v>
      </c>
      <c r="GJ12" t="e">
        <f>AND(Sheet1!J103,"AAAAAH/3/r8=")</f>
        <v>#VALUE!</v>
      </c>
      <c r="GK12" t="e">
        <f>AND(Sheet1!K103,"AAAAAH/3/sA=")</f>
        <v>#VALUE!</v>
      </c>
      <c r="GL12" t="e">
        <f>AND(Sheet1!L103,"AAAAAH/3/sE=")</f>
        <v>#VALUE!</v>
      </c>
      <c r="GM12" t="e">
        <f>AND(Sheet1!M103,"AAAAAH/3/sI=")</f>
        <v>#VALUE!</v>
      </c>
      <c r="GN12" t="e">
        <f>AND(Sheet1!N103,"AAAAAH/3/sM=")</f>
        <v>#VALUE!</v>
      </c>
      <c r="GO12" t="e">
        <f>AND(Sheet1!O103,"AAAAAH/3/sQ=")</f>
        <v>#VALUE!</v>
      </c>
      <c r="GP12" t="e">
        <f>AND(Sheet1!P103,"AAAAAH/3/sU=")</f>
        <v>#VALUE!</v>
      </c>
      <c r="GQ12" t="e">
        <f>AND(Sheet1!Q103,"AAAAAH/3/sY=")</f>
        <v>#VALUE!</v>
      </c>
      <c r="GR12" t="e">
        <f>AND(Sheet1!R103,"AAAAAH/3/sc=")</f>
        <v>#VALUE!</v>
      </c>
      <c r="GS12" t="e">
        <f>AND(Sheet1!S103,"AAAAAH/3/sg=")</f>
        <v>#VALUE!</v>
      </c>
      <c r="GT12" t="e">
        <f>AND(Sheet1!T103,"AAAAAH/3/sk=")</f>
        <v>#VALUE!</v>
      </c>
      <c r="GU12" t="e">
        <f>AND(Sheet1!U103,"AAAAAH/3/so=")</f>
        <v>#VALUE!</v>
      </c>
      <c r="GV12" t="e">
        <f>AND(Sheet1!V103,"AAAAAH/3/ss=")</f>
        <v>#VALUE!</v>
      </c>
      <c r="GW12" t="e">
        <f>AND(Sheet1!W103,"AAAAAH/3/sw=")</f>
        <v>#VALUE!</v>
      </c>
      <c r="GX12" t="e">
        <f>AND(Sheet1!X103,"AAAAAH/3/s0=")</f>
        <v>#VALUE!</v>
      </c>
      <c r="GY12" t="e">
        <f>AND(Sheet1!Y103,"AAAAAH/3/s4=")</f>
        <v>#VALUE!</v>
      </c>
      <c r="GZ12" t="e">
        <f>AND(Sheet1!Z103,"AAAAAH/3/s8=")</f>
        <v>#VALUE!</v>
      </c>
      <c r="HA12" t="e">
        <f>AND(Sheet1!AA103,"AAAAAH/3/tA=")</f>
        <v>#VALUE!</v>
      </c>
      <c r="HB12" t="e">
        <f>AND(Sheet1!AB103,"AAAAAH/3/tE=")</f>
        <v>#VALUE!</v>
      </c>
      <c r="HC12">
        <f>IF(Sheet1!104:104,"AAAAAH/3/tI=",0)</f>
        <v>0</v>
      </c>
      <c r="HD12" t="e">
        <f>AND(Sheet1!A104,"AAAAAH/3/tM=")</f>
        <v>#VALUE!</v>
      </c>
      <c r="HE12" t="e">
        <f>AND(Sheet1!B104,"AAAAAH/3/tQ=")</f>
        <v>#VALUE!</v>
      </c>
      <c r="HF12" t="e">
        <f>AND(Sheet1!C104,"AAAAAH/3/tU=")</f>
        <v>#VALUE!</v>
      </c>
      <c r="HG12" t="e">
        <f>AND(Sheet1!D104,"AAAAAH/3/tY=")</f>
        <v>#VALUE!</v>
      </c>
      <c r="HH12" t="e">
        <f>AND(Sheet1!E104,"AAAAAH/3/tc=")</f>
        <v>#VALUE!</v>
      </c>
      <c r="HI12" t="e">
        <f>AND(Sheet1!F104,"AAAAAH/3/tg=")</f>
        <v>#VALUE!</v>
      </c>
      <c r="HJ12" t="e">
        <f>AND(Sheet1!G104,"AAAAAH/3/tk=")</f>
        <v>#VALUE!</v>
      </c>
      <c r="HK12" t="e">
        <f>AND(Sheet1!H104,"AAAAAH/3/to=")</f>
        <v>#VALUE!</v>
      </c>
      <c r="HL12" t="e">
        <f>AND(Sheet1!I104,"AAAAAH/3/ts=")</f>
        <v>#VALUE!</v>
      </c>
      <c r="HM12" t="e">
        <f>AND(Sheet1!J104,"AAAAAH/3/tw=")</f>
        <v>#VALUE!</v>
      </c>
      <c r="HN12" t="e">
        <f>AND(Sheet1!K104,"AAAAAH/3/t0=")</f>
        <v>#VALUE!</v>
      </c>
      <c r="HO12" t="e">
        <f>AND(Sheet1!L104,"AAAAAH/3/t4=")</f>
        <v>#VALUE!</v>
      </c>
      <c r="HP12" t="e">
        <f>AND(Sheet1!M104,"AAAAAH/3/t8=")</f>
        <v>#VALUE!</v>
      </c>
      <c r="HQ12" t="e">
        <f>AND(Sheet1!N104,"AAAAAH/3/uA=")</f>
        <v>#VALUE!</v>
      </c>
      <c r="HR12" t="e">
        <f>AND(Sheet1!O104,"AAAAAH/3/uE=")</f>
        <v>#VALUE!</v>
      </c>
      <c r="HS12" t="e">
        <f>AND(Sheet1!P104,"AAAAAH/3/uI=")</f>
        <v>#VALUE!</v>
      </c>
      <c r="HT12" t="e">
        <f>AND(Sheet1!Q104,"AAAAAH/3/uM=")</f>
        <v>#VALUE!</v>
      </c>
      <c r="HU12" t="e">
        <f>AND(Sheet1!R104,"AAAAAH/3/uQ=")</f>
        <v>#VALUE!</v>
      </c>
      <c r="HV12" t="e">
        <f>AND(Sheet1!S104,"AAAAAH/3/uU=")</f>
        <v>#VALUE!</v>
      </c>
      <c r="HW12" t="e">
        <f>AND(Sheet1!T104,"AAAAAH/3/uY=")</f>
        <v>#VALUE!</v>
      </c>
      <c r="HX12" t="e">
        <f>AND(Sheet1!U104,"AAAAAH/3/uc=")</f>
        <v>#VALUE!</v>
      </c>
      <c r="HY12" t="e">
        <f>AND(Sheet1!V104,"AAAAAH/3/ug=")</f>
        <v>#VALUE!</v>
      </c>
      <c r="HZ12" t="e">
        <f>AND(Sheet1!W104,"AAAAAH/3/uk=")</f>
        <v>#VALUE!</v>
      </c>
      <c r="IA12" t="e">
        <f>AND(Sheet1!X104,"AAAAAH/3/uo=")</f>
        <v>#VALUE!</v>
      </c>
      <c r="IB12" t="e">
        <f>AND(Sheet1!Y104,"AAAAAH/3/us=")</f>
        <v>#VALUE!</v>
      </c>
      <c r="IC12" t="e">
        <f>AND(Sheet1!Z104,"AAAAAH/3/uw=")</f>
        <v>#VALUE!</v>
      </c>
      <c r="ID12" t="e">
        <f>AND(Sheet1!AA104,"AAAAAH/3/u0=")</f>
        <v>#VALUE!</v>
      </c>
      <c r="IE12" t="e">
        <f>AND(Sheet1!AB104,"AAAAAH/3/u4=")</f>
        <v>#VALUE!</v>
      </c>
      <c r="IF12">
        <f>IF(Sheet1!105:105,"AAAAAH/3/u8=",0)</f>
        <v>0</v>
      </c>
      <c r="IG12" t="e">
        <f>AND(Sheet1!A105,"AAAAAH/3/vA=")</f>
        <v>#VALUE!</v>
      </c>
      <c r="IH12" t="e">
        <f>AND(Sheet1!B105,"AAAAAH/3/vE=")</f>
        <v>#VALUE!</v>
      </c>
      <c r="II12" t="e">
        <f>AND(Sheet1!C105,"AAAAAH/3/vI=")</f>
        <v>#VALUE!</v>
      </c>
      <c r="IJ12" t="e">
        <f>AND(Sheet1!D105,"AAAAAH/3/vM=")</f>
        <v>#VALUE!</v>
      </c>
      <c r="IK12" t="e">
        <f>AND(Sheet1!E105,"AAAAAH/3/vQ=")</f>
        <v>#VALUE!</v>
      </c>
      <c r="IL12" t="e">
        <f>AND(Sheet1!F105,"AAAAAH/3/vU=")</f>
        <v>#VALUE!</v>
      </c>
      <c r="IM12" t="e">
        <f>AND(Sheet1!G105,"AAAAAH/3/vY=")</f>
        <v>#VALUE!</v>
      </c>
      <c r="IN12" t="e">
        <f>AND(Sheet1!H105,"AAAAAH/3/vc=")</f>
        <v>#VALUE!</v>
      </c>
      <c r="IO12" t="e">
        <f>AND(Sheet1!I105,"AAAAAH/3/vg=")</f>
        <v>#VALUE!</v>
      </c>
      <c r="IP12" t="e">
        <f>AND(Sheet1!J105,"AAAAAH/3/vk=")</f>
        <v>#VALUE!</v>
      </c>
      <c r="IQ12" t="e">
        <f>AND(Sheet1!K105,"AAAAAH/3/vo=")</f>
        <v>#VALUE!</v>
      </c>
      <c r="IR12" t="e">
        <f>AND(Sheet1!L105,"AAAAAH/3/vs=")</f>
        <v>#VALUE!</v>
      </c>
      <c r="IS12" t="e">
        <f>AND(Sheet1!M105,"AAAAAH/3/vw=")</f>
        <v>#VALUE!</v>
      </c>
      <c r="IT12" t="e">
        <f>AND(Sheet1!N105,"AAAAAH/3/v0=")</f>
        <v>#VALUE!</v>
      </c>
      <c r="IU12" t="e">
        <f>AND(Sheet1!O105,"AAAAAH/3/v4=")</f>
        <v>#VALUE!</v>
      </c>
      <c r="IV12" t="e">
        <f>AND(Sheet1!P105,"AAAAAH/3/v8=")</f>
        <v>#VALUE!</v>
      </c>
    </row>
    <row r="13" spans="1:256" ht="12.75">
      <c r="A13" t="e">
        <f>AND(Sheet1!Q105,"AAAAADmnfwA=")</f>
        <v>#VALUE!</v>
      </c>
      <c r="B13" t="e">
        <f>AND(Sheet1!R105,"AAAAADmnfwE=")</f>
        <v>#VALUE!</v>
      </c>
      <c r="C13" t="e">
        <f>AND(Sheet1!S105,"AAAAADmnfwI=")</f>
        <v>#VALUE!</v>
      </c>
      <c r="D13" t="e">
        <f>AND(Sheet1!T105,"AAAAADmnfwM=")</f>
        <v>#VALUE!</v>
      </c>
      <c r="E13" t="e">
        <f>AND(Sheet1!U105,"AAAAADmnfwQ=")</f>
        <v>#VALUE!</v>
      </c>
      <c r="F13" t="e">
        <f>AND(Sheet1!V105,"AAAAADmnfwU=")</f>
        <v>#VALUE!</v>
      </c>
      <c r="G13" t="e">
        <f>AND(Sheet1!W105,"AAAAADmnfwY=")</f>
        <v>#VALUE!</v>
      </c>
      <c r="H13" t="e">
        <f>AND(Sheet1!X105,"AAAAADmnfwc=")</f>
        <v>#VALUE!</v>
      </c>
      <c r="I13" t="e">
        <f>AND(Sheet1!Y105,"AAAAADmnfwg=")</f>
        <v>#VALUE!</v>
      </c>
      <c r="J13" t="e">
        <f>AND(Sheet1!Z105,"AAAAADmnfwk=")</f>
        <v>#VALUE!</v>
      </c>
      <c r="K13" t="e">
        <f>AND(Sheet1!AA105,"AAAAADmnfwo=")</f>
        <v>#VALUE!</v>
      </c>
      <c r="L13" t="e">
        <f>AND(Sheet1!AB105,"AAAAADmnfws=")</f>
        <v>#VALUE!</v>
      </c>
      <c r="M13">
        <f>IF(Sheet1!106:106,"AAAAADmnfww=",0)</f>
        <v>0</v>
      </c>
      <c r="N13" t="e">
        <f>AND(Sheet1!A106,"AAAAADmnfw0=")</f>
        <v>#VALUE!</v>
      </c>
      <c r="O13" t="e">
        <f>AND(Sheet1!B106,"AAAAADmnfw4=")</f>
        <v>#VALUE!</v>
      </c>
      <c r="P13" t="e">
        <f>AND(Sheet1!C106,"AAAAADmnfw8=")</f>
        <v>#VALUE!</v>
      </c>
      <c r="Q13" t="e">
        <f>AND(Sheet1!D106,"AAAAADmnfxA=")</f>
        <v>#VALUE!</v>
      </c>
      <c r="R13" t="e">
        <f>AND(Sheet1!E106,"AAAAADmnfxE=")</f>
        <v>#VALUE!</v>
      </c>
      <c r="S13" t="e">
        <f>AND(Sheet1!F106,"AAAAADmnfxI=")</f>
        <v>#VALUE!</v>
      </c>
      <c r="T13" t="e">
        <f>AND(Sheet1!G106,"AAAAADmnfxM=")</f>
        <v>#VALUE!</v>
      </c>
      <c r="U13" t="e">
        <f>AND(Sheet1!H106,"AAAAADmnfxQ=")</f>
        <v>#VALUE!</v>
      </c>
      <c r="V13" t="e">
        <f>AND(Sheet1!I106,"AAAAADmnfxU=")</f>
        <v>#VALUE!</v>
      </c>
      <c r="W13" t="e">
        <f>AND(Sheet1!J106,"AAAAADmnfxY=")</f>
        <v>#VALUE!</v>
      </c>
      <c r="X13" t="e">
        <f>AND(Sheet1!K106,"AAAAADmnfxc=")</f>
        <v>#VALUE!</v>
      </c>
      <c r="Y13" t="e">
        <f>AND(Sheet1!L106,"AAAAADmnfxg=")</f>
        <v>#VALUE!</v>
      </c>
      <c r="Z13" t="e">
        <f>AND(Sheet1!M106,"AAAAADmnfxk=")</f>
        <v>#VALUE!</v>
      </c>
      <c r="AA13" t="e">
        <f>AND(Sheet1!N106,"AAAAADmnfxo=")</f>
        <v>#VALUE!</v>
      </c>
      <c r="AB13" t="e">
        <f>AND(Sheet1!O106,"AAAAADmnfxs=")</f>
        <v>#VALUE!</v>
      </c>
      <c r="AC13" t="e">
        <f>AND(Sheet1!P106,"AAAAADmnfxw=")</f>
        <v>#VALUE!</v>
      </c>
      <c r="AD13" t="e">
        <f>AND(Sheet1!Q106,"AAAAADmnfx0=")</f>
        <v>#VALUE!</v>
      </c>
      <c r="AE13" t="e">
        <f>AND(Sheet1!R106,"AAAAADmnfx4=")</f>
        <v>#VALUE!</v>
      </c>
      <c r="AF13" t="e">
        <f>AND(Sheet1!S106,"AAAAADmnfx8=")</f>
        <v>#VALUE!</v>
      </c>
      <c r="AG13" t="e">
        <f>AND(Sheet1!T106,"AAAAADmnfyA=")</f>
        <v>#VALUE!</v>
      </c>
      <c r="AH13" t="e">
        <f>AND(Sheet1!U106,"AAAAADmnfyE=")</f>
        <v>#VALUE!</v>
      </c>
      <c r="AI13" t="e">
        <f>AND(Sheet1!V106,"AAAAADmnfyI=")</f>
        <v>#VALUE!</v>
      </c>
      <c r="AJ13" t="e">
        <f>AND(Sheet1!W106,"AAAAADmnfyM=")</f>
        <v>#VALUE!</v>
      </c>
      <c r="AK13" t="e">
        <f>AND(Sheet1!X106,"AAAAADmnfyQ=")</f>
        <v>#VALUE!</v>
      </c>
      <c r="AL13" t="e">
        <f>AND(Sheet1!Y106,"AAAAADmnfyU=")</f>
        <v>#VALUE!</v>
      </c>
      <c r="AM13" t="e">
        <f>AND(Sheet1!Z106,"AAAAADmnfyY=")</f>
        <v>#VALUE!</v>
      </c>
      <c r="AN13" t="e">
        <f>AND(Sheet1!AA106,"AAAAADmnfyc=")</f>
        <v>#VALUE!</v>
      </c>
      <c r="AO13" t="e">
        <f>AND(Sheet1!AB106,"AAAAADmnfyg=")</f>
        <v>#VALUE!</v>
      </c>
      <c r="AP13">
        <f>IF(Sheet1!107:107,"AAAAADmnfyk=",0)</f>
        <v>0</v>
      </c>
      <c r="AQ13" t="e">
        <f>AND(Sheet1!A107,"AAAAADmnfyo=")</f>
        <v>#VALUE!</v>
      </c>
      <c r="AR13" t="e">
        <f>AND(Sheet1!B107,"AAAAADmnfys=")</f>
        <v>#VALUE!</v>
      </c>
      <c r="AS13" t="e">
        <f>AND(Sheet1!C107,"AAAAADmnfyw=")</f>
        <v>#VALUE!</v>
      </c>
      <c r="AT13" t="e">
        <f>AND(Sheet1!D107,"AAAAADmnfy0=")</f>
        <v>#VALUE!</v>
      </c>
      <c r="AU13" t="e">
        <f>AND(Sheet1!E107,"AAAAADmnfy4=")</f>
        <v>#VALUE!</v>
      </c>
      <c r="AV13" t="e">
        <f>AND(Sheet1!F107,"AAAAADmnfy8=")</f>
        <v>#VALUE!</v>
      </c>
      <c r="AW13" t="e">
        <f>AND(Sheet1!G107,"AAAAADmnfzA=")</f>
        <v>#VALUE!</v>
      </c>
      <c r="AX13" t="e">
        <f>AND(Sheet1!H107,"AAAAADmnfzE=")</f>
        <v>#VALUE!</v>
      </c>
      <c r="AY13" t="e">
        <f>AND(Sheet1!I107,"AAAAADmnfzI=")</f>
        <v>#VALUE!</v>
      </c>
      <c r="AZ13" t="e">
        <f>AND(Sheet1!J107,"AAAAADmnfzM=")</f>
        <v>#VALUE!</v>
      </c>
      <c r="BA13" t="e">
        <f>AND(Sheet1!K107,"AAAAADmnfzQ=")</f>
        <v>#VALUE!</v>
      </c>
      <c r="BB13" t="e">
        <f>AND(Sheet1!L107,"AAAAADmnfzU=")</f>
        <v>#VALUE!</v>
      </c>
      <c r="BC13" t="e">
        <f>AND(Sheet1!M107,"AAAAADmnfzY=")</f>
        <v>#VALUE!</v>
      </c>
      <c r="BD13" t="e">
        <f>AND(Sheet1!N107,"AAAAADmnfzc=")</f>
        <v>#VALUE!</v>
      </c>
      <c r="BE13" t="e">
        <f>AND(Sheet1!O107,"AAAAADmnfzg=")</f>
        <v>#VALUE!</v>
      </c>
      <c r="BF13" t="e">
        <f>AND(Sheet1!P107,"AAAAADmnfzk=")</f>
        <v>#VALUE!</v>
      </c>
      <c r="BG13" t="e">
        <f>AND(Sheet1!Q107,"AAAAADmnfzo=")</f>
        <v>#VALUE!</v>
      </c>
      <c r="BH13" t="e">
        <f>AND(Sheet1!R107,"AAAAADmnfzs=")</f>
        <v>#VALUE!</v>
      </c>
      <c r="BI13" t="e">
        <f>AND(Sheet1!S107,"AAAAADmnfzw=")</f>
        <v>#VALUE!</v>
      </c>
      <c r="BJ13" t="e">
        <f>AND(Sheet1!T107,"AAAAADmnfz0=")</f>
        <v>#VALUE!</v>
      </c>
      <c r="BK13" t="e">
        <f>AND(Sheet1!U107,"AAAAADmnfz4=")</f>
        <v>#VALUE!</v>
      </c>
      <c r="BL13" t="e">
        <f>AND(Sheet1!V107,"AAAAADmnfz8=")</f>
        <v>#VALUE!</v>
      </c>
      <c r="BM13" t="e">
        <f>AND(Sheet1!W107,"AAAAADmnf0A=")</f>
        <v>#VALUE!</v>
      </c>
      <c r="BN13" t="e">
        <f>AND(Sheet1!X107,"AAAAADmnf0E=")</f>
        <v>#VALUE!</v>
      </c>
      <c r="BO13" t="e">
        <f>AND(Sheet1!Y107,"AAAAADmnf0I=")</f>
        <v>#VALUE!</v>
      </c>
      <c r="BP13" t="e">
        <f>AND(Sheet1!Z107,"AAAAADmnf0M=")</f>
        <v>#VALUE!</v>
      </c>
      <c r="BQ13" t="e">
        <f>AND(Sheet1!AA107,"AAAAADmnf0Q=")</f>
        <v>#VALUE!</v>
      </c>
      <c r="BR13" t="e">
        <f>AND(Sheet1!AB107,"AAAAADmnf0U=")</f>
        <v>#VALUE!</v>
      </c>
      <c r="BS13">
        <f>IF(Sheet1!108:108,"AAAAADmnf0Y=",0)</f>
        <v>0</v>
      </c>
      <c r="BT13" t="e">
        <f>AND(Sheet1!A108,"AAAAADmnf0c=")</f>
        <v>#VALUE!</v>
      </c>
      <c r="BU13" t="e">
        <f>AND(Sheet1!B108,"AAAAADmnf0g=")</f>
        <v>#VALUE!</v>
      </c>
      <c r="BV13" t="e">
        <f>AND(Sheet1!C108,"AAAAADmnf0k=")</f>
        <v>#VALUE!</v>
      </c>
      <c r="BW13" t="e">
        <f>AND(Sheet1!D108,"AAAAADmnf0o=")</f>
        <v>#VALUE!</v>
      </c>
      <c r="BX13" t="e">
        <f>AND(Sheet1!E108,"AAAAADmnf0s=")</f>
        <v>#VALUE!</v>
      </c>
      <c r="BY13" t="e">
        <f>AND(Sheet1!F108,"AAAAADmnf0w=")</f>
        <v>#VALUE!</v>
      </c>
      <c r="BZ13" t="e">
        <f>AND(Sheet1!G108,"AAAAADmnf00=")</f>
        <v>#VALUE!</v>
      </c>
      <c r="CA13" t="e">
        <f>AND(Sheet1!H108,"AAAAADmnf04=")</f>
        <v>#VALUE!</v>
      </c>
      <c r="CB13" t="e">
        <f>AND(Sheet1!I108,"AAAAADmnf08=")</f>
        <v>#VALUE!</v>
      </c>
      <c r="CC13" t="e">
        <f>AND(Sheet1!J108,"AAAAADmnf1A=")</f>
        <v>#VALUE!</v>
      </c>
      <c r="CD13" t="e">
        <f>AND(Sheet1!K108,"AAAAADmnf1E=")</f>
        <v>#VALUE!</v>
      </c>
      <c r="CE13" t="e">
        <f>AND(Sheet1!L108,"AAAAADmnf1I=")</f>
        <v>#VALUE!</v>
      </c>
      <c r="CF13" t="e">
        <f>AND(Sheet1!M108,"AAAAADmnf1M=")</f>
        <v>#VALUE!</v>
      </c>
      <c r="CG13" t="e">
        <f>AND(Sheet1!N108,"AAAAADmnf1Q=")</f>
        <v>#VALUE!</v>
      </c>
      <c r="CH13" t="e">
        <f>AND(Sheet1!O108,"AAAAADmnf1U=")</f>
        <v>#VALUE!</v>
      </c>
      <c r="CI13" t="e">
        <f>AND(Sheet1!P108,"AAAAADmnf1Y=")</f>
        <v>#VALUE!</v>
      </c>
      <c r="CJ13" t="e">
        <f>AND(Sheet1!Q108,"AAAAADmnf1c=")</f>
        <v>#VALUE!</v>
      </c>
      <c r="CK13" t="e">
        <f>AND(Sheet1!R108,"AAAAADmnf1g=")</f>
        <v>#VALUE!</v>
      </c>
      <c r="CL13" t="e">
        <f>AND(Sheet1!S108,"AAAAADmnf1k=")</f>
        <v>#VALUE!</v>
      </c>
      <c r="CM13" t="e">
        <f>AND(Sheet1!T108,"AAAAADmnf1o=")</f>
        <v>#VALUE!</v>
      </c>
      <c r="CN13" t="e">
        <f>AND(Sheet1!U108,"AAAAADmnf1s=")</f>
        <v>#VALUE!</v>
      </c>
      <c r="CO13" t="e">
        <f>AND(Sheet1!V108,"AAAAADmnf1w=")</f>
        <v>#VALUE!</v>
      </c>
      <c r="CP13" t="e">
        <f>AND(Sheet1!W108,"AAAAADmnf10=")</f>
        <v>#VALUE!</v>
      </c>
      <c r="CQ13" t="e">
        <f>AND(Sheet1!X108,"AAAAADmnf14=")</f>
        <v>#VALUE!</v>
      </c>
      <c r="CR13" t="e">
        <f>AND(Sheet1!Y108,"AAAAADmnf18=")</f>
        <v>#VALUE!</v>
      </c>
      <c r="CS13" t="e">
        <f>AND(Sheet1!Z108,"AAAAADmnf2A=")</f>
        <v>#VALUE!</v>
      </c>
      <c r="CT13" t="e">
        <f>AND(Sheet1!AA108,"AAAAADmnf2E=")</f>
        <v>#VALUE!</v>
      </c>
      <c r="CU13" t="e">
        <f>AND(Sheet1!AB108,"AAAAADmnf2I=")</f>
        <v>#VALUE!</v>
      </c>
      <c r="CV13">
        <f>IF(Sheet1!109:109,"AAAAADmnf2M=",0)</f>
        <v>0</v>
      </c>
      <c r="CW13" t="e">
        <f>AND(Sheet1!A109,"AAAAADmnf2Q=")</f>
        <v>#VALUE!</v>
      </c>
      <c r="CX13" t="e">
        <f>AND(Sheet1!B109,"AAAAADmnf2U=")</f>
        <v>#VALUE!</v>
      </c>
      <c r="CY13" t="e">
        <f>AND(Sheet1!C109,"AAAAADmnf2Y=")</f>
        <v>#VALUE!</v>
      </c>
      <c r="CZ13" t="e">
        <f>AND(Sheet1!D109,"AAAAADmnf2c=")</f>
        <v>#VALUE!</v>
      </c>
      <c r="DA13" t="e">
        <f>AND(Sheet1!E109,"AAAAADmnf2g=")</f>
        <v>#VALUE!</v>
      </c>
      <c r="DB13" t="e">
        <f>AND(Sheet1!F109,"AAAAADmnf2k=")</f>
        <v>#VALUE!</v>
      </c>
      <c r="DC13" t="e">
        <f>AND(Sheet1!G109,"AAAAADmnf2o=")</f>
        <v>#VALUE!</v>
      </c>
      <c r="DD13" t="e">
        <f>AND(Sheet1!H109,"AAAAADmnf2s=")</f>
        <v>#VALUE!</v>
      </c>
      <c r="DE13" t="e">
        <f>AND(Sheet1!I109,"AAAAADmnf2w=")</f>
        <v>#VALUE!</v>
      </c>
      <c r="DF13" t="e">
        <f>AND(Sheet1!J109,"AAAAADmnf20=")</f>
        <v>#VALUE!</v>
      </c>
      <c r="DG13" t="e">
        <f>AND(Sheet1!K109,"AAAAADmnf24=")</f>
        <v>#VALUE!</v>
      </c>
      <c r="DH13" t="e">
        <f>AND(Sheet1!L109,"AAAAADmnf28=")</f>
        <v>#VALUE!</v>
      </c>
      <c r="DI13" t="e">
        <f>AND(Sheet1!M109,"AAAAADmnf3A=")</f>
        <v>#VALUE!</v>
      </c>
      <c r="DJ13" t="e">
        <f>AND(Sheet1!N109,"AAAAADmnf3E=")</f>
        <v>#VALUE!</v>
      </c>
      <c r="DK13" t="e">
        <f>AND(Sheet1!O109,"AAAAADmnf3I=")</f>
        <v>#VALUE!</v>
      </c>
      <c r="DL13" t="e">
        <f>AND(Sheet1!P109,"AAAAADmnf3M=")</f>
        <v>#VALUE!</v>
      </c>
      <c r="DM13" t="e">
        <f>AND(Sheet1!Q109,"AAAAADmnf3Q=")</f>
        <v>#VALUE!</v>
      </c>
      <c r="DN13" t="e">
        <f>AND(Sheet1!R109,"AAAAADmnf3U=")</f>
        <v>#VALUE!</v>
      </c>
      <c r="DO13" t="e">
        <f>AND(Sheet1!S109,"AAAAADmnf3Y=")</f>
        <v>#VALUE!</v>
      </c>
      <c r="DP13" t="e">
        <f>AND(Sheet1!T109,"AAAAADmnf3c=")</f>
        <v>#VALUE!</v>
      </c>
      <c r="DQ13" t="e">
        <f>AND(Sheet1!U109,"AAAAADmnf3g=")</f>
        <v>#VALUE!</v>
      </c>
      <c r="DR13" t="e">
        <f>AND(Sheet1!V109,"AAAAADmnf3k=")</f>
        <v>#VALUE!</v>
      </c>
      <c r="DS13" t="e">
        <f>AND(Sheet1!W109,"AAAAADmnf3o=")</f>
        <v>#VALUE!</v>
      </c>
      <c r="DT13" t="e">
        <f>AND(Sheet1!X109,"AAAAADmnf3s=")</f>
        <v>#VALUE!</v>
      </c>
      <c r="DU13" t="e">
        <f>AND(Sheet1!Y109,"AAAAADmnf3w=")</f>
        <v>#VALUE!</v>
      </c>
      <c r="DV13" t="e">
        <f>AND(Sheet1!Z109,"AAAAADmnf30=")</f>
        <v>#VALUE!</v>
      </c>
      <c r="DW13" t="e">
        <f>AND(Sheet1!AA109,"AAAAADmnf34=")</f>
        <v>#VALUE!</v>
      </c>
      <c r="DX13" t="e">
        <f>AND(Sheet1!AB109,"AAAAADmnf38=")</f>
        <v>#VALUE!</v>
      </c>
      <c r="DY13">
        <f>IF(Sheet1!110:110,"AAAAADmnf4A=",0)</f>
        <v>0</v>
      </c>
      <c r="DZ13" t="e">
        <f>AND(Sheet1!A110,"AAAAADmnf4E=")</f>
        <v>#VALUE!</v>
      </c>
      <c r="EA13" t="e">
        <f>AND(Sheet1!B110,"AAAAADmnf4I=")</f>
        <v>#VALUE!</v>
      </c>
      <c r="EB13" t="e">
        <f>AND(Sheet1!C110,"AAAAADmnf4M=")</f>
        <v>#VALUE!</v>
      </c>
      <c r="EC13" t="e">
        <f>AND(Sheet1!D110,"AAAAADmnf4Q=")</f>
        <v>#VALUE!</v>
      </c>
      <c r="ED13" t="e">
        <f>AND(Sheet1!E110,"AAAAADmnf4U=")</f>
        <v>#VALUE!</v>
      </c>
      <c r="EE13" t="e">
        <f>AND(Sheet1!F110,"AAAAADmnf4Y=")</f>
        <v>#VALUE!</v>
      </c>
      <c r="EF13" t="e">
        <f>AND(Sheet1!G110,"AAAAADmnf4c=")</f>
        <v>#VALUE!</v>
      </c>
      <c r="EG13" t="e">
        <f>AND(Sheet1!H110,"AAAAADmnf4g=")</f>
        <v>#VALUE!</v>
      </c>
      <c r="EH13" t="e">
        <f>AND(Sheet1!I110,"AAAAADmnf4k=")</f>
        <v>#VALUE!</v>
      </c>
      <c r="EI13" t="e">
        <f>AND(Sheet1!J110,"AAAAADmnf4o=")</f>
        <v>#VALUE!</v>
      </c>
      <c r="EJ13" t="e">
        <f>AND(Sheet1!K110,"AAAAADmnf4s=")</f>
        <v>#VALUE!</v>
      </c>
      <c r="EK13" t="e">
        <f>AND(Sheet1!L110,"AAAAADmnf4w=")</f>
        <v>#VALUE!</v>
      </c>
      <c r="EL13" t="e">
        <f>AND(Sheet1!M110,"AAAAADmnf40=")</f>
        <v>#VALUE!</v>
      </c>
      <c r="EM13" t="e">
        <f>AND(Sheet1!N110,"AAAAADmnf44=")</f>
        <v>#VALUE!</v>
      </c>
      <c r="EN13" t="e">
        <f>AND(Sheet1!O110,"AAAAADmnf48=")</f>
        <v>#VALUE!</v>
      </c>
      <c r="EO13" t="e">
        <f>AND(Sheet1!P110,"AAAAADmnf5A=")</f>
        <v>#VALUE!</v>
      </c>
      <c r="EP13" t="e">
        <f>AND(Sheet1!Q110,"AAAAADmnf5E=")</f>
        <v>#VALUE!</v>
      </c>
      <c r="EQ13" t="e">
        <f>AND(Sheet1!R110,"AAAAADmnf5I=")</f>
        <v>#VALUE!</v>
      </c>
      <c r="ER13" t="e">
        <f>AND(Sheet1!S110,"AAAAADmnf5M=")</f>
        <v>#VALUE!</v>
      </c>
      <c r="ES13" t="e">
        <f>AND(Sheet1!T110,"AAAAADmnf5Q=")</f>
        <v>#VALUE!</v>
      </c>
      <c r="ET13" t="e">
        <f>AND(Sheet1!U110,"AAAAADmnf5U=")</f>
        <v>#VALUE!</v>
      </c>
      <c r="EU13" t="e">
        <f>AND(Sheet1!V110,"AAAAADmnf5Y=")</f>
        <v>#VALUE!</v>
      </c>
      <c r="EV13" t="e">
        <f>AND(Sheet1!W110,"AAAAADmnf5c=")</f>
        <v>#VALUE!</v>
      </c>
      <c r="EW13" t="e">
        <f>AND(Sheet1!X110,"AAAAADmnf5g=")</f>
        <v>#VALUE!</v>
      </c>
      <c r="EX13" t="e">
        <f>AND(Sheet1!Y110,"AAAAADmnf5k=")</f>
        <v>#VALUE!</v>
      </c>
      <c r="EY13" t="e">
        <f>AND(Sheet1!Z110,"AAAAADmnf5o=")</f>
        <v>#VALUE!</v>
      </c>
      <c r="EZ13" t="e">
        <f>AND(Sheet1!AA110,"AAAAADmnf5s=")</f>
        <v>#VALUE!</v>
      </c>
      <c r="FA13" t="e">
        <f>AND(Sheet1!AB110,"AAAAADmnf5w=")</f>
        <v>#VALUE!</v>
      </c>
      <c r="FB13">
        <f>IF(Sheet1!111:111,"AAAAADmnf50=",0)</f>
        <v>0</v>
      </c>
      <c r="FC13" t="e">
        <f>AND(Sheet1!A111,"AAAAADmnf54=")</f>
        <v>#VALUE!</v>
      </c>
      <c r="FD13" t="e">
        <f>AND(Sheet1!B111,"AAAAADmnf58=")</f>
        <v>#VALUE!</v>
      </c>
      <c r="FE13" t="e">
        <f>AND(Sheet1!C111,"AAAAADmnf6A=")</f>
        <v>#VALUE!</v>
      </c>
      <c r="FF13" t="e">
        <f>AND(Sheet1!D111,"AAAAADmnf6E=")</f>
        <v>#VALUE!</v>
      </c>
      <c r="FG13" t="e">
        <f>AND(Sheet1!E111,"AAAAADmnf6I=")</f>
        <v>#VALUE!</v>
      </c>
      <c r="FH13" t="e">
        <f>AND(Sheet1!F111,"AAAAADmnf6M=")</f>
        <v>#VALUE!</v>
      </c>
      <c r="FI13" t="e">
        <f>AND(Sheet1!G111,"AAAAADmnf6Q=")</f>
        <v>#VALUE!</v>
      </c>
      <c r="FJ13" t="e">
        <f>AND(Sheet1!H111,"AAAAADmnf6U=")</f>
        <v>#VALUE!</v>
      </c>
      <c r="FK13" t="e">
        <f>AND(Sheet1!I111,"AAAAADmnf6Y=")</f>
        <v>#VALUE!</v>
      </c>
      <c r="FL13" t="e">
        <f>AND(Sheet1!J111,"AAAAADmnf6c=")</f>
        <v>#VALUE!</v>
      </c>
      <c r="FM13" t="e">
        <f>AND(Sheet1!K111,"AAAAADmnf6g=")</f>
        <v>#VALUE!</v>
      </c>
      <c r="FN13" t="e">
        <f>AND(Sheet1!L111,"AAAAADmnf6k=")</f>
        <v>#VALUE!</v>
      </c>
      <c r="FO13" t="e">
        <f>AND(Sheet1!M111,"AAAAADmnf6o=")</f>
        <v>#VALUE!</v>
      </c>
      <c r="FP13" t="e">
        <f>AND(Sheet1!N111,"AAAAADmnf6s=")</f>
        <v>#VALUE!</v>
      </c>
      <c r="FQ13" t="e">
        <f>AND(Sheet1!O111,"AAAAADmnf6w=")</f>
        <v>#VALUE!</v>
      </c>
      <c r="FR13" t="e">
        <f>AND(Sheet1!P111,"AAAAADmnf60=")</f>
        <v>#VALUE!</v>
      </c>
      <c r="FS13" t="e">
        <f>AND(Sheet1!Q111,"AAAAADmnf64=")</f>
        <v>#VALUE!</v>
      </c>
      <c r="FT13" t="e">
        <f>AND(Sheet1!R111,"AAAAADmnf68=")</f>
        <v>#VALUE!</v>
      </c>
      <c r="FU13" t="e">
        <f>AND(Sheet1!S111,"AAAAADmnf7A=")</f>
        <v>#VALUE!</v>
      </c>
      <c r="FV13" t="e">
        <f>AND(Sheet1!T111,"AAAAADmnf7E=")</f>
        <v>#VALUE!</v>
      </c>
      <c r="FW13" t="e">
        <f>AND(Sheet1!U111,"AAAAADmnf7I=")</f>
        <v>#VALUE!</v>
      </c>
      <c r="FX13" t="e">
        <f>AND(Sheet1!V111,"AAAAADmnf7M=")</f>
        <v>#VALUE!</v>
      </c>
      <c r="FY13" t="e">
        <f>AND(Sheet1!W111,"AAAAADmnf7Q=")</f>
        <v>#VALUE!</v>
      </c>
      <c r="FZ13" t="e">
        <f>AND(Sheet1!X111,"AAAAADmnf7U=")</f>
        <v>#VALUE!</v>
      </c>
      <c r="GA13" t="e">
        <f>AND(Sheet1!Y111,"AAAAADmnf7Y=")</f>
        <v>#VALUE!</v>
      </c>
      <c r="GB13" t="e">
        <f>AND(Sheet1!Z111,"AAAAADmnf7c=")</f>
        <v>#VALUE!</v>
      </c>
      <c r="GC13" t="e">
        <f>AND(Sheet1!AA111,"AAAAADmnf7g=")</f>
        <v>#VALUE!</v>
      </c>
      <c r="GD13" t="e">
        <f>AND(Sheet1!AB111,"AAAAADmnf7k=")</f>
        <v>#VALUE!</v>
      </c>
      <c r="GE13">
        <f>IF(Sheet1!112:112,"AAAAADmnf7o=",0)</f>
        <v>0</v>
      </c>
      <c r="GF13" t="e">
        <f>AND(Sheet1!A112,"AAAAADmnf7s=")</f>
        <v>#VALUE!</v>
      </c>
      <c r="GG13" t="e">
        <f>AND(Sheet1!B112,"AAAAADmnf7w=")</f>
        <v>#VALUE!</v>
      </c>
      <c r="GH13" t="e">
        <f>AND(Sheet1!C112,"AAAAADmnf70=")</f>
        <v>#VALUE!</v>
      </c>
      <c r="GI13" t="e">
        <f>AND(Sheet1!D112,"AAAAADmnf74=")</f>
        <v>#VALUE!</v>
      </c>
      <c r="GJ13" t="e">
        <f>AND(Sheet1!E112,"AAAAADmnf78=")</f>
        <v>#VALUE!</v>
      </c>
      <c r="GK13" t="e">
        <f>AND(Sheet1!F112,"AAAAADmnf8A=")</f>
        <v>#VALUE!</v>
      </c>
      <c r="GL13" t="e">
        <f>AND(Sheet1!G112,"AAAAADmnf8E=")</f>
        <v>#VALUE!</v>
      </c>
      <c r="GM13" t="e">
        <f>AND(Sheet1!H112,"AAAAADmnf8I=")</f>
        <v>#VALUE!</v>
      </c>
      <c r="GN13" t="e">
        <f>AND(Sheet1!I112,"AAAAADmnf8M=")</f>
        <v>#VALUE!</v>
      </c>
      <c r="GO13" t="e">
        <f>AND(Sheet1!J112,"AAAAADmnf8Q=")</f>
        <v>#VALUE!</v>
      </c>
      <c r="GP13" t="e">
        <f>AND(Sheet1!K112,"AAAAADmnf8U=")</f>
        <v>#VALUE!</v>
      </c>
      <c r="GQ13" t="e">
        <f>AND(Sheet1!L112,"AAAAADmnf8Y=")</f>
        <v>#VALUE!</v>
      </c>
      <c r="GR13" t="e">
        <f>AND(Sheet1!M112,"AAAAADmnf8c=")</f>
        <v>#VALUE!</v>
      </c>
      <c r="GS13" t="e">
        <f>AND(Sheet1!N112,"AAAAADmnf8g=")</f>
        <v>#VALUE!</v>
      </c>
      <c r="GT13" t="e">
        <f>AND(Sheet1!O112,"AAAAADmnf8k=")</f>
        <v>#VALUE!</v>
      </c>
      <c r="GU13" t="e">
        <f>AND(Sheet1!P112,"AAAAADmnf8o=")</f>
        <v>#VALUE!</v>
      </c>
      <c r="GV13" t="e">
        <f>AND(Sheet1!Q112,"AAAAADmnf8s=")</f>
        <v>#VALUE!</v>
      </c>
      <c r="GW13" t="e">
        <f>AND(Sheet1!R112,"AAAAADmnf8w=")</f>
        <v>#VALUE!</v>
      </c>
      <c r="GX13" t="e">
        <f>AND(Sheet1!S112,"AAAAADmnf80=")</f>
        <v>#VALUE!</v>
      </c>
      <c r="GY13" t="e">
        <f>AND(Sheet1!T112,"AAAAADmnf84=")</f>
        <v>#VALUE!</v>
      </c>
      <c r="GZ13" t="e">
        <f>AND(Sheet1!U112,"AAAAADmnf88=")</f>
        <v>#VALUE!</v>
      </c>
      <c r="HA13" t="e">
        <f>AND(Sheet1!V112,"AAAAADmnf9A=")</f>
        <v>#VALUE!</v>
      </c>
      <c r="HB13" t="e">
        <f>AND(Sheet1!W112,"AAAAADmnf9E=")</f>
        <v>#VALUE!</v>
      </c>
      <c r="HC13" t="e">
        <f>AND(Sheet1!X112,"AAAAADmnf9I=")</f>
        <v>#VALUE!</v>
      </c>
      <c r="HD13" t="e">
        <f>AND(Sheet1!Y112,"AAAAADmnf9M=")</f>
        <v>#VALUE!</v>
      </c>
      <c r="HE13" t="e">
        <f>AND(Sheet1!Z112,"AAAAADmnf9Q=")</f>
        <v>#VALUE!</v>
      </c>
      <c r="HF13" t="e">
        <f>AND(Sheet1!AA112,"AAAAADmnf9U=")</f>
        <v>#VALUE!</v>
      </c>
      <c r="HG13" t="e">
        <f>AND(Sheet1!AB112,"AAAAADmnf9Y=")</f>
        <v>#VALUE!</v>
      </c>
      <c r="HH13">
        <f>IF(Sheet1!113:113,"AAAAADmnf9c=",0)</f>
        <v>0</v>
      </c>
      <c r="HI13" t="e">
        <f>AND(Sheet1!A113,"AAAAADmnf9g=")</f>
        <v>#VALUE!</v>
      </c>
      <c r="HJ13" t="e">
        <f>AND(Sheet1!B113,"AAAAADmnf9k=")</f>
        <v>#VALUE!</v>
      </c>
      <c r="HK13" t="e">
        <f>AND(Sheet1!C113,"AAAAADmnf9o=")</f>
        <v>#VALUE!</v>
      </c>
      <c r="HL13" t="e">
        <f>AND(Sheet1!D113,"AAAAADmnf9s=")</f>
        <v>#VALUE!</v>
      </c>
      <c r="HM13" t="e">
        <f>AND(Sheet1!E113,"AAAAADmnf9w=")</f>
        <v>#VALUE!</v>
      </c>
      <c r="HN13" t="e">
        <f>AND(Sheet1!F113,"AAAAADmnf90=")</f>
        <v>#VALUE!</v>
      </c>
      <c r="HO13" t="e">
        <f>AND(Sheet1!G113,"AAAAADmnf94=")</f>
        <v>#VALUE!</v>
      </c>
      <c r="HP13" t="e">
        <f>AND(Sheet1!H113,"AAAAADmnf98=")</f>
        <v>#VALUE!</v>
      </c>
      <c r="HQ13" t="e">
        <f>AND(Sheet1!I113,"AAAAADmnf+A=")</f>
        <v>#VALUE!</v>
      </c>
      <c r="HR13" t="e">
        <f>AND(Sheet1!J113,"AAAAADmnf+E=")</f>
        <v>#VALUE!</v>
      </c>
      <c r="HS13" t="e">
        <f>AND(Sheet1!K113,"AAAAADmnf+I=")</f>
        <v>#VALUE!</v>
      </c>
      <c r="HT13" t="e">
        <f>AND(Sheet1!L113,"AAAAADmnf+M=")</f>
        <v>#VALUE!</v>
      </c>
      <c r="HU13" t="e">
        <f>AND(Sheet1!M113,"AAAAADmnf+Q=")</f>
        <v>#VALUE!</v>
      </c>
      <c r="HV13" t="e">
        <f>AND(Sheet1!N113,"AAAAADmnf+U=")</f>
        <v>#VALUE!</v>
      </c>
      <c r="HW13" t="e">
        <f>AND(Sheet1!O113,"AAAAADmnf+Y=")</f>
        <v>#VALUE!</v>
      </c>
      <c r="HX13" t="e">
        <f>AND(Sheet1!P113,"AAAAADmnf+c=")</f>
        <v>#VALUE!</v>
      </c>
      <c r="HY13" t="e">
        <f>AND(Sheet1!Q113,"AAAAADmnf+g=")</f>
        <v>#VALUE!</v>
      </c>
      <c r="HZ13" t="e">
        <f>AND(Sheet1!R113,"AAAAADmnf+k=")</f>
        <v>#VALUE!</v>
      </c>
      <c r="IA13" t="e">
        <f>AND(Sheet1!S113,"AAAAADmnf+o=")</f>
        <v>#VALUE!</v>
      </c>
      <c r="IB13" t="e">
        <f>AND(Sheet1!T113,"AAAAADmnf+s=")</f>
        <v>#VALUE!</v>
      </c>
      <c r="IC13" t="e">
        <f>AND(Sheet1!U113,"AAAAADmnf+w=")</f>
        <v>#VALUE!</v>
      </c>
      <c r="ID13" t="e">
        <f>AND(Sheet1!V113,"AAAAADmnf+0=")</f>
        <v>#VALUE!</v>
      </c>
      <c r="IE13" t="e">
        <f>AND(Sheet1!W113,"AAAAADmnf+4=")</f>
        <v>#VALUE!</v>
      </c>
      <c r="IF13" t="e">
        <f>AND(Sheet1!X113,"AAAAADmnf+8=")</f>
        <v>#VALUE!</v>
      </c>
      <c r="IG13" t="e">
        <f>AND(Sheet1!Y113,"AAAAADmnf/A=")</f>
        <v>#VALUE!</v>
      </c>
      <c r="IH13" t="e">
        <f>AND(Sheet1!Z113,"AAAAADmnf/E=")</f>
        <v>#VALUE!</v>
      </c>
      <c r="II13" t="e">
        <f>AND(Sheet1!AA113,"AAAAADmnf/I=")</f>
        <v>#VALUE!</v>
      </c>
      <c r="IJ13" t="e">
        <f>AND(Sheet1!AB113,"AAAAADmnf/M=")</f>
        <v>#VALUE!</v>
      </c>
      <c r="IK13">
        <f>IF(Sheet1!114:114,"AAAAADmnf/Q=",0)</f>
        <v>0</v>
      </c>
      <c r="IL13" t="e">
        <f>AND(Sheet1!A114,"AAAAADmnf/U=")</f>
        <v>#VALUE!</v>
      </c>
      <c r="IM13" t="e">
        <f>AND(Sheet1!B114,"AAAAADmnf/Y=")</f>
        <v>#VALUE!</v>
      </c>
      <c r="IN13" t="e">
        <f>AND(Sheet1!C114,"AAAAADmnf/c=")</f>
        <v>#VALUE!</v>
      </c>
      <c r="IO13" t="e">
        <f>AND(Sheet1!D114,"AAAAADmnf/g=")</f>
        <v>#VALUE!</v>
      </c>
      <c r="IP13" t="e">
        <f>AND(Sheet1!E114,"AAAAADmnf/k=")</f>
        <v>#VALUE!</v>
      </c>
      <c r="IQ13" t="e">
        <f>AND(Sheet1!F114,"AAAAADmnf/o=")</f>
        <v>#VALUE!</v>
      </c>
      <c r="IR13" t="e">
        <f>AND(Sheet1!G114,"AAAAADmnf/s=")</f>
        <v>#VALUE!</v>
      </c>
      <c r="IS13" t="e">
        <f>AND(Sheet1!H114,"AAAAADmnf/w=")</f>
        <v>#VALUE!</v>
      </c>
      <c r="IT13" t="e">
        <f>AND(Sheet1!I114,"AAAAADmnf/0=")</f>
        <v>#VALUE!</v>
      </c>
      <c r="IU13" t="e">
        <f>AND(Sheet1!J114,"AAAAADmnf/4=")</f>
        <v>#VALUE!</v>
      </c>
      <c r="IV13" t="e">
        <f>AND(Sheet1!K114,"AAAAADmnf/8=")</f>
        <v>#VALUE!</v>
      </c>
    </row>
    <row r="14" spans="1:111" ht="12.75">
      <c r="A14" t="e">
        <f>AND(Sheet1!L114,"AAAAAD//ZwA=")</f>
        <v>#VALUE!</v>
      </c>
      <c r="B14" t="e">
        <f>AND(Sheet1!M114,"AAAAAD//ZwE=")</f>
        <v>#VALUE!</v>
      </c>
      <c r="C14" t="e">
        <f>AND(Sheet1!N114,"AAAAAD//ZwI=")</f>
        <v>#VALUE!</v>
      </c>
      <c r="D14" t="e">
        <f>AND(Sheet1!O114,"AAAAAD//ZwM=")</f>
        <v>#VALUE!</v>
      </c>
      <c r="E14" t="e">
        <f>AND(Sheet1!P114,"AAAAAD//ZwQ=")</f>
        <v>#VALUE!</v>
      </c>
      <c r="F14" t="e">
        <f>AND(Sheet1!Q114,"AAAAAD//ZwU=")</f>
        <v>#VALUE!</v>
      </c>
      <c r="G14" t="e">
        <f>AND(Sheet1!R114,"AAAAAD//ZwY=")</f>
        <v>#VALUE!</v>
      </c>
      <c r="H14" t="e">
        <f>AND(Sheet1!S114,"AAAAAD//Zwc=")</f>
        <v>#VALUE!</v>
      </c>
      <c r="I14" t="e">
        <f>AND(Sheet1!T114,"AAAAAD//Zwg=")</f>
        <v>#VALUE!</v>
      </c>
      <c r="J14" t="e">
        <f>AND(Sheet1!U114,"AAAAAD//Zwk=")</f>
        <v>#VALUE!</v>
      </c>
      <c r="K14" t="e">
        <f>AND(Sheet1!V114,"AAAAAD//Zwo=")</f>
        <v>#VALUE!</v>
      </c>
      <c r="L14" t="e">
        <f>AND(Sheet1!W114,"AAAAAD//Zws=")</f>
        <v>#VALUE!</v>
      </c>
      <c r="M14" t="e">
        <f>AND(Sheet1!X114,"AAAAAD//Zww=")</f>
        <v>#VALUE!</v>
      </c>
      <c r="N14" t="e">
        <f>AND(Sheet1!Y114,"AAAAAD//Zw0=")</f>
        <v>#VALUE!</v>
      </c>
      <c r="O14" t="e">
        <f>AND(Sheet1!Z114,"AAAAAD//Zw4=")</f>
        <v>#VALUE!</v>
      </c>
      <c r="P14" t="e">
        <f>AND(Sheet1!AA114,"AAAAAD//Zw8=")</f>
        <v>#VALUE!</v>
      </c>
      <c r="Q14" t="e">
        <f>AND(Sheet1!AB114,"AAAAAD//ZxA=")</f>
        <v>#VALUE!</v>
      </c>
      <c r="R14" t="str">
        <f>IF(Sheet1!A:A,"AAAAAD//ZxE=",0)</f>
        <v>AAAAAD//ZxE=</v>
      </c>
      <c r="S14">
        <f>IF(Sheet1!B:B,"AAAAAD//ZxI=",0)</f>
        <v>0</v>
      </c>
      <c r="T14">
        <f>IF(Sheet1!C:C,"AAAAAD//ZxM=",0)</f>
        <v>0</v>
      </c>
      <c r="U14">
        <f>IF(Sheet1!D:D,"AAAAAD//ZxQ=",0)</f>
        <v>0</v>
      </c>
      <c r="V14">
        <f>IF(Sheet1!E:E,"AAAAAD//ZxU=",0)</f>
        <v>0</v>
      </c>
      <c r="W14">
        <f>IF(Sheet1!F:F,"AAAAAD//ZxY=",0)</f>
        <v>0</v>
      </c>
      <c r="X14">
        <f>IF(Sheet1!G:G,"AAAAAD//Zxc=",0)</f>
        <v>0</v>
      </c>
      <c r="Y14">
        <f>IF(Sheet1!H:H,"AAAAAD//Zxg=",0)</f>
        <v>0</v>
      </c>
      <c r="Z14">
        <f>IF(Sheet1!I:I,"AAAAAD//Zxk=",0)</f>
        <v>0</v>
      </c>
      <c r="AA14">
        <f>IF(Sheet1!J:J,"AAAAAD//Zxo=",0)</f>
        <v>0</v>
      </c>
      <c r="AB14">
        <f>IF(Sheet1!K:K,"AAAAAD//Zxs=",0)</f>
        <v>0</v>
      </c>
      <c r="AC14">
        <f>IF(Sheet1!L:L,"AAAAAD//Zxw=",0)</f>
        <v>0</v>
      </c>
      <c r="AD14">
        <f>IF(Sheet1!M:M,"AAAAAD//Zx0=",0)</f>
        <v>0</v>
      </c>
      <c r="AE14">
        <f>IF(Sheet1!N:N,"AAAAAD//Zx4=",0)</f>
        <v>0</v>
      </c>
      <c r="AF14">
        <f>IF(Sheet1!O:O,"AAAAAD//Zx8=",0)</f>
        <v>0</v>
      </c>
      <c r="AG14">
        <f>IF(Sheet1!P:P,"AAAAAD//ZyA=",0)</f>
        <v>0</v>
      </c>
      <c r="AH14">
        <f>IF(Sheet1!Q:Q,"AAAAAD//ZyE=",0)</f>
        <v>0</v>
      </c>
      <c r="AI14">
        <f>IF(Sheet1!R:R,"AAAAAD//ZyI=",0)</f>
        <v>0</v>
      </c>
      <c r="AJ14">
        <f>IF(Sheet1!S:S,"AAAAAD//ZyM=",0)</f>
        <v>0</v>
      </c>
      <c r="AK14">
        <f>IF(Sheet1!T:T,"AAAAAD//ZyQ=",0)</f>
        <v>0</v>
      </c>
      <c r="AL14">
        <f>IF(Sheet1!U:U,"AAAAAD//ZyU=",0)</f>
        <v>0</v>
      </c>
      <c r="AM14">
        <f>IF(Sheet1!V:V,"AAAAAD//ZyY=",0)</f>
        <v>0</v>
      </c>
      <c r="AN14">
        <f>IF(Sheet1!W:W,"AAAAAD//Zyc=",0)</f>
        <v>0</v>
      </c>
      <c r="AO14">
        <f>IF(Sheet1!X:X,"AAAAAD//Zyg=",0)</f>
        <v>0</v>
      </c>
      <c r="AP14">
        <f>IF(Sheet1!Y:Y,"AAAAAD//Zyk=",0)</f>
        <v>0</v>
      </c>
      <c r="AQ14">
        <f>IF(Sheet1!Z:Z,"AAAAAD//Zyo=",0)</f>
        <v>0</v>
      </c>
      <c r="AR14">
        <f>IF(Sheet1!AA:AA,"AAAAAD//Zys=",0)</f>
        <v>0</v>
      </c>
      <c r="AS14">
        <f>IF(Sheet1!AB:AB,"AAAAAD//Zyw=",0)</f>
        <v>0</v>
      </c>
      <c r="AT14">
        <f>IF(Sheet3!1:1,"AAAAAD//Zy0=",0)</f>
        <v>0</v>
      </c>
      <c r="AU14" t="e">
        <f>AND(Sheet3!A1,"AAAAAD//Zy4=")</f>
        <v>#VALUE!</v>
      </c>
      <c r="AV14" t="e">
        <f>AND(Sheet3!B1,"AAAAAD//Zy8=")</f>
        <v>#VALUE!</v>
      </c>
      <c r="AW14" t="e">
        <f>AND(Sheet3!C1,"AAAAAD//ZzA=")</f>
        <v>#VALUE!</v>
      </c>
      <c r="AX14" t="e">
        <f>AND(Sheet3!D1,"AAAAAD//ZzE=")</f>
        <v>#VALUE!</v>
      </c>
      <c r="AY14" t="e">
        <f>AND(Sheet3!E1,"AAAAAD//ZzI=")</f>
        <v>#VALUE!</v>
      </c>
      <c r="AZ14" t="e">
        <f>AND(Sheet3!F1,"AAAAAD//ZzM=")</f>
        <v>#VALUE!</v>
      </c>
      <c r="BA14" t="e">
        <f>AND(Sheet3!G1,"AAAAAD//ZzQ=")</f>
        <v>#VALUE!</v>
      </c>
      <c r="BB14" t="e">
        <f>AND(Sheet3!H1,"AAAAAD//ZzU=")</f>
        <v>#VALUE!</v>
      </c>
      <c r="BC14" t="e">
        <f>AND(Sheet3!I1,"AAAAAD//ZzY=")</f>
        <v>#VALUE!</v>
      </c>
      <c r="BD14" t="e">
        <f>AND(Sheet3!J1,"AAAAAD//Zzc=")</f>
        <v>#VALUE!</v>
      </c>
      <c r="BE14" t="e">
        <f>AND(Sheet3!K1,"AAAAAD//Zzg=")</f>
        <v>#VALUE!</v>
      </c>
      <c r="BF14" t="e">
        <f>AND(Sheet3!L1,"AAAAAD//Zzk=")</f>
        <v>#VALUE!</v>
      </c>
      <c r="BG14" t="e">
        <f>AND(Sheet3!M1,"AAAAAD//Zzo=")</f>
        <v>#VALUE!</v>
      </c>
      <c r="BH14" t="e">
        <f>AND(Sheet3!N1,"AAAAAD//Zzs=")</f>
        <v>#VALUE!</v>
      </c>
      <c r="BI14" t="e">
        <f>AND(Sheet3!O1,"AAAAAD//Zzw=")</f>
        <v>#VALUE!</v>
      </c>
      <c r="BJ14" t="e">
        <f>AND(Sheet3!P1,"AAAAAD//Zz0=")</f>
        <v>#VALUE!</v>
      </c>
      <c r="BK14" t="e">
        <f>AND(Sheet3!Q1,"AAAAAD//Zz4=")</f>
        <v>#VALUE!</v>
      </c>
      <c r="BL14" t="e">
        <f>AND(Sheet3!R1,"AAAAAD//Zz8=")</f>
        <v>#VALUE!</v>
      </c>
      <c r="BM14" t="e">
        <f>AND(Sheet3!S1,"AAAAAD//Z0A=")</f>
        <v>#VALUE!</v>
      </c>
      <c r="BN14" t="e">
        <f>AND(Sheet3!T1,"AAAAAD//Z0E=")</f>
        <v>#VALUE!</v>
      </c>
      <c r="BO14" t="e">
        <f>AND(Sheet3!U1,"AAAAAD//Z0I=")</f>
        <v>#VALUE!</v>
      </c>
      <c r="BP14" t="e">
        <f>AND(Sheet3!V1,"AAAAAD//Z0M=")</f>
        <v>#VALUE!</v>
      </c>
      <c r="BQ14" t="e">
        <f>AND(Sheet3!W1,"AAAAAD//Z0Q=")</f>
        <v>#VALUE!</v>
      </c>
      <c r="BR14" t="e">
        <f>AND(Sheet3!X1,"AAAAAD//Z0U=")</f>
        <v>#VALUE!</v>
      </c>
      <c r="BS14">
        <f>IF(Sheet3!2:2,"AAAAAD//Z0Y=",0)</f>
        <v>0</v>
      </c>
      <c r="BT14">
        <f>IF(Sheet3!3:3,"AAAAAD//Z0c=",0)</f>
        <v>0</v>
      </c>
      <c r="BU14">
        <f>IF(Sheet3!4:4,"AAAAAD//Z0g=",0)</f>
        <v>0</v>
      </c>
      <c r="BV14">
        <f>IF(Sheet3!5:5,"AAAAAD//Z0k=",0)</f>
        <v>0</v>
      </c>
      <c r="BW14">
        <f>IF(Sheet3!6:6,"AAAAAD//Z0o=",0)</f>
        <v>0</v>
      </c>
      <c r="BX14">
        <f>IF(Sheet3!7:7,"AAAAAD//Z0s=",0)</f>
        <v>0</v>
      </c>
      <c r="BY14">
        <f>IF(Sheet3!8:8,"AAAAAD//Z0w=",0)</f>
        <v>0</v>
      </c>
      <c r="BZ14">
        <f>IF(Sheet3!9:9,"AAAAAD//Z00=",0)</f>
        <v>0</v>
      </c>
      <c r="CA14">
        <f>IF(Sheet3!10:10,"AAAAAD//Z04=",0)</f>
        <v>0</v>
      </c>
      <c r="CB14">
        <f>IF(Sheet3!11:11,"AAAAAD//Z08=",0)</f>
        <v>0</v>
      </c>
      <c r="CC14">
        <f>IF(Sheet3!12:12,"AAAAAD//Z1A=",0)</f>
        <v>0</v>
      </c>
      <c r="CD14">
        <f>IF(Sheet3!13:13,"AAAAAD//Z1E=",0)</f>
        <v>0</v>
      </c>
      <c r="CE14">
        <f>IF(Sheet3!14:14,"AAAAAD//Z1I=",0)</f>
        <v>0</v>
      </c>
      <c r="CF14">
        <f>IF(Sheet3!15:15,"AAAAAD//Z1M=",0)</f>
        <v>0</v>
      </c>
      <c r="CG14">
        <f>IF(Sheet3!16:16,"AAAAAD//Z1Q=",0)</f>
        <v>0</v>
      </c>
      <c r="CH14">
        <f>IF(Sheet3!A:A,"AAAAAD//Z1U=",0)</f>
        <v>0</v>
      </c>
      <c r="CI14">
        <f>IF(Sheet3!B:B,"AAAAAD//Z1Y=",0)</f>
        <v>0</v>
      </c>
      <c r="CJ14">
        <f>IF(Sheet3!C:C,"AAAAAD//Z1c=",0)</f>
        <v>0</v>
      </c>
      <c r="CK14">
        <f>IF(Sheet3!D:D,"AAAAAD//Z1g=",0)</f>
        <v>0</v>
      </c>
      <c r="CL14">
        <f>IF(Sheet3!E:E,"AAAAAD//Z1k=",0)</f>
        <v>0</v>
      </c>
      <c r="CM14">
        <f>IF(Sheet3!F:F,"AAAAAD//Z1o=",0)</f>
        <v>0</v>
      </c>
      <c r="CN14">
        <f>IF(Sheet3!G:G,"AAAAAD//Z1s=",0)</f>
        <v>0</v>
      </c>
      <c r="CO14">
        <f>IF(Sheet3!H:H,"AAAAAD//Z1w=",0)</f>
        <v>0</v>
      </c>
      <c r="CP14">
        <f>IF(Sheet3!I:I,"AAAAAD//Z10=",0)</f>
        <v>0</v>
      </c>
      <c r="CQ14">
        <f>IF(Sheet3!J:J,"AAAAAD//Z14=",0)</f>
        <v>0</v>
      </c>
      <c r="CR14">
        <f>IF(Sheet3!K:K,"AAAAAD//Z18=",0)</f>
        <v>0</v>
      </c>
      <c r="CS14">
        <f>IF(Sheet3!L:L,"AAAAAD//Z2A=",0)</f>
        <v>0</v>
      </c>
      <c r="CT14">
        <f>IF(Sheet3!M:M,"AAAAAD//Z2E=",0)</f>
        <v>0</v>
      </c>
      <c r="CU14">
        <f>IF(Sheet3!N:N,"AAAAAD//Z2I=",0)</f>
        <v>0</v>
      </c>
      <c r="CV14">
        <f>IF(Sheet3!O:O,"AAAAAD//Z2M=",0)</f>
        <v>0</v>
      </c>
      <c r="CW14">
        <f>IF(Sheet3!P:P,"AAAAAD//Z2Q=",0)</f>
        <v>0</v>
      </c>
      <c r="CX14">
        <f>IF(Sheet3!Q:Q,"AAAAAD//Z2U=",0)</f>
        <v>0</v>
      </c>
      <c r="CY14">
        <f>IF(Sheet3!R:R,"AAAAAD//Z2Y=",0)</f>
        <v>0</v>
      </c>
      <c r="CZ14">
        <f>IF(Sheet3!S:S,"AAAAAD//Z2c=",0)</f>
        <v>0</v>
      </c>
      <c r="DA14">
        <f>IF(Sheet3!T:T,"AAAAAD//Z2g=",0)</f>
        <v>0</v>
      </c>
      <c r="DB14">
        <f>IF(Sheet3!U:U,"AAAAAD//Z2k=",0)</f>
        <v>0</v>
      </c>
      <c r="DC14">
        <f>IF(Sheet3!V:V,"AAAAAD//Z2o=",0)</f>
        <v>0</v>
      </c>
      <c r="DD14">
        <f>IF(Sheet3!W:W,"AAAAAD//Z2s=",0)</f>
        <v>0</v>
      </c>
      <c r="DE14">
        <f>IF(Sheet3!X:X,"AAAAAD//Z2w=",0)</f>
        <v>0</v>
      </c>
      <c r="DF14" t="s">
        <v>32</v>
      </c>
      <c r="DG14" t="e">
        <f>IF("N",Sheet1!_FILTERDATABASE,"AAAAAD//Z24=")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Novant Health,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Novant Health Authorized User</dc:creator>
  <cp:keywords/>
  <dc:description/>
  <cp:lastModifiedBy>Windows User</cp:lastModifiedBy>
  <cp:lastPrinted>2011-04-12T14:37:23Z</cp:lastPrinted>
  <dcterms:created xsi:type="dcterms:W3CDTF">2010-12-22T22:36:23Z</dcterms:created>
  <dcterms:modified xsi:type="dcterms:W3CDTF">2012-04-25T15:21:13Z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1e_TQiWue4UuEAOo2qF4AqouOJFIjQndQyz57qtwsCzo</vt:lpwstr>
  </property>
  <property fmtid="{D5CDD505-2E9C-101B-9397-08002B2CF9AE}" pid="4" name="Google.Documents.RevisionId">
    <vt:lpwstr>07548292177508984445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