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45" activeTab="0"/>
  </bookViews>
  <sheets>
    <sheet name="score card (2)" sheetId="1" r:id="rId1"/>
    <sheet name="DV-IDENTITY-0" sheetId="2" state="veryHidden" r:id="rId2"/>
  </sheets>
  <definedNames>
    <definedName name="_xlnm.Print_Area" localSheetId="0">'score card (2)'!$A$1:$X$70</definedName>
  </definedNames>
  <calcPr fullCalcOnLoad="1"/>
</workbook>
</file>

<file path=xl/sharedStrings.xml><?xml version="1.0" encoding="utf-8"?>
<sst xmlns="http://schemas.openxmlformats.org/spreadsheetml/2006/main" count="30" uniqueCount="25">
  <si>
    <t>PHH WOMEN'S SERVICES UNIT</t>
  </si>
  <si>
    <t>C/S Delivery</t>
  </si>
  <si>
    <t>Operative Vaginal Delivery</t>
  </si>
  <si>
    <t>Vaginal Delivery Rate</t>
  </si>
  <si>
    <t>Nullip/Term/Singleton/Vertex (NTSV)</t>
  </si>
  <si>
    <t>Total Patients</t>
  </si>
  <si>
    <t>C/S Rate</t>
  </si>
  <si>
    <t xml:space="preserve"> Vaginal Deliveries*   </t>
  </si>
  <si>
    <t>PQCNC Aggregate "Joint Commission" C/S Rate</t>
  </si>
  <si>
    <t>*Includes Operative Vaginal Deliveries</t>
  </si>
  <si>
    <t>Total Inductions</t>
  </si>
  <si>
    <t>Pitocin Only</t>
  </si>
  <si>
    <t>Cervical Ripening Only</t>
  </si>
  <si>
    <t>Spontaneous Vaginal Delivery</t>
  </si>
  <si>
    <t>Cesarean Section</t>
  </si>
  <si>
    <t>Average Length of Stay</t>
  </si>
  <si>
    <t>Mode of Delivery: Non-Induced NTSV</t>
  </si>
  <si>
    <t>Requested Primary C/S</t>
  </si>
  <si>
    <t>Elective IOL &lt;41 weeks</t>
  </si>
  <si>
    <t>Mode of Delivery: Induced NTSV</t>
  </si>
  <si>
    <t>Mechanical Dilation with pitocin</t>
  </si>
  <si>
    <t>Cervical Ripening with Pitocin</t>
  </si>
  <si>
    <t xml:space="preserve">
Provider Score Card:              March 2012
</t>
  </si>
  <si>
    <t>WSU Totals</t>
  </si>
  <si>
    <t>AAAAAH+5vXI=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</si>
</sst>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48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4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6" fillId="35" borderId="13" xfId="0" applyNumberFormat="1" applyFont="1" applyFill="1" applyBorder="1" applyAlignment="1">
      <alignment horizontal="center"/>
    </xf>
    <xf numFmtId="0" fontId="6" fillId="35" borderId="14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1" fontId="4" fillId="33" borderId="15" xfId="0" applyNumberFormat="1" applyFont="1" applyFill="1" applyBorder="1" applyAlignment="1">
      <alignment horizontal="right"/>
    </xf>
    <xf numFmtId="10" fontId="4" fillId="33" borderId="15" xfId="0" applyNumberFormat="1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36" borderId="15" xfId="0" applyFont="1" applyFill="1" applyBorder="1" applyAlignment="1">
      <alignment horizontal="right"/>
    </xf>
    <xf numFmtId="0" fontId="4" fillId="36" borderId="12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right"/>
    </xf>
    <xf numFmtId="0" fontId="4" fillId="36" borderId="17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10" fontId="4" fillId="33" borderId="11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66" fontId="10" fillId="37" borderId="21" xfId="0" applyNumberFormat="1" applyFont="1" applyFill="1" applyBorder="1" applyAlignment="1">
      <alignment/>
    </xf>
    <xf numFmtId="166" fontId="10" fillId="37" borderId="21" xfId="0" applyNumberFormat="1" applyFont="1" applyFill="1" applyBorder="1" applyAlignment="1">
      <alignment horizontal="right"/>
    </xf>
    <xf numFmtId="166" fontId="10" fillId="37" borderId="22" xfId="0" applyNumberFormat="1" applyFont="1" applyFill="1" applyBorder="1" applyAlignment="1">
      <alignment horizontal="right"/>
    </xf>
    <xf numFmtId="166" fontId="10" fillId="37" borderId="23" xfId="0" applyNumberFormat="1" applyFont="1" applyFill="1" applyBorder="1" applyAlignment="1">
      <alignment/>
    </xf>
    <xf numFmtId="166" fontId="10" fillId="37" borderId="21" xfId="0" applyNumberFormat="1" applyFont="1" applyFill="1" applyBorder="1" applyAlignment="1">
      <alignment/>
    </xf>
    <xf numFmtId="166" fontId="10" fillId="37" borderId="23" xfId="0" applyNumberFormat="1" applyFont="1" applyFill="1" applyBorder="1" applyAlignment="1">
      <alignment/>
    </xf>
    <xf numFmtId="0" fontId="4" fillId="36" borderId="22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3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7" borderId="24" xfId="0" applyFont="1" applyFill="1" applyBorder="1" applyAlignment="1">
      <alignment horizontal="right"/>
    </xf>
    <xf numFmtId="10" fontId="4" fillId="33" borderId="22" xfId="0" applyNumberFormat="1" applyFont="1" applyFill="1" applyBorder="1" applyAlignment="1">
      <alignment horizontal="center"/>
    </xf>
    <xf numFmtId="10" fontId="4" fillId="33" borderId="21" xfId="0" applyNumberFormat="1" applyFont="1" applyFill="1" applyBorder="1" applyAlignment="1">
      <alignment horizontal="center"/>
    </xf>
    <xf numFmtId="10" fontId="4" fillId="33" borderId="2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11" fillId="36" borderId="26" xfId="0" applyFont="1" applyFill="1" applyBorder="1" applyAlignment="1">
      <alignment horizontal="right"/>
    </xf>
    <xf numFmtId="0" fontId="0" fillId="36" borderId="27" xfId="0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0" fontId="11" fillId="36" borderId="29" xfId="0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11" fillId="36" borderId="11" xfId="0" applyFon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34" xfId="0" applyFill="1" applyBorder="1" applyAlignment="1">
      <alignment horizontal="right"/>
    </xf>
    <xf numFmtId="0" fontId="11" fillId="36" borderId="12" xfId="0" applyFont="1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35" xfId="0" applyFill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2" fillId="35" borderId="31" xfId="0" applyFont="1" applyFill="1" applyBorder="1" applyAlignment="1">
      <alignment horizontal="center" wrapText="1"/>
    </xf>
    <xf numFmtId="0" fontId="12" fillId="35" borderId="32" xfId="0" applyFont="1" applyFill="1" applyBorder="1" applyAlignment="1">
      <alignment horizontal="center" wrapText="1"/>
    </xf>
    <xf numFmtId="0" fontId="12" fillId="35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right"/>
    </xf>
    <xf numFmtId="0" fontId="0" fillId="0" borderId="38" xfId="0" applyBorder="1" applyAlignment="1">
      <alignment horizontal="right"/>
    </xf>
    <xf numFmtId="0" fontId="10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11" fillId="36" borderId="18" xfId="0" applyFont="1" applyFill="1" applyBorder="1" applyAlignment="1">
      <alignment horizontal="right"/>
    </xf>
    <xf numFmtId="0" fontId="11" fillId="36" borderId="19" xfId="0" applyFont="1" applyFill="1" applyBorder="1" applyAlignment="1">
      <alignment horizontal="right"/>
    </xf>
    <xf numFmtId="0" fontId="11" fillId="36" borderId="40" xfId="0" applyFont="1" applyFill="1" applyBorder="1" applyAlignment="1">
      <alignment horizontal="right"/>
    </xf>
    <xf numFmtId="0" fontId="11" fillId="37" borderId="37" xfId="0" applyFont="1" applyFill="1" applyBorder="1" applyAlignment="1">
      <alignment horizontal="right"/>
    </xf>
    <xf numFmtId="0" fontId="11" fillId="37" borderId="38" xfId="0" applyFont="1" applyFill="1" applyBorder="1" applyAlignment="1">
      <alignment horizontal="right"/>
    </xf>
    <xf numFmtId="0" fontId="0" fillId="0" borderId="3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1" fillId="34" borderId="41" xfId="0" applyFont="1" applyFill="1" applyBorder="1" applyAlignment="1">
      <alignment horizontal="right"/>
    </xf>
    <xf numFmtId="0" fontId="0" fillId="34" borderId="42" xfId="0" applyFill="1" applyBorder="1" applyAlignment="1">
      <alignment horizontal="right"/>
    </xf>
    <xf numFmtId="0" fontId="11" fillId="34" borderId="29" xfId="0" applyFont="1" applyFill="1" applyBorder="1" applyAlignment="1">
      <alignment horizontal="right"/>
    </xf>
    <xf numFmtId="0" fontId="11" fillId="34" borderId="30" xfId="0" applyFont="1" applyFill="1" applyBorder="1" applyAlignment="1">
      <alignment horizontal="right"/>
    </xf>
    <xf numFmtId="0" fontId="11" fillId="37" borderId="22" xfId="0" applyFont="1" applyFill="1" applyBorder="1" applyAlignment="1">
      <alignment horizontal="right"/>
    </xf>
    <xf numFmtId="0" fontId="0" fillId="37" borderId="21" xfId="0" applyFill="1" applyBorder="1" applyAlignment="1">
      <alignment horizontal="right"/>
    </xf>
    <xf numFmtId="0" fontId="0" fillId="37" borderId="43" xfId="0" applyFill="1" applyBorder="1" applyAlignment="1">
      <alignment horizontal="right"/>
    </xf>
    <xf numFmtId="0" fontId="0" fillId="0" borderId="4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3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5" max="5" width="37.57421875" style="0" customWidth="1"/>
    <col min="6" max="6" width="14.7109375" style="0" customWidth="1"/>
    <col min="7" max="7" width="15.00390625" style="0" bestFit="1" customWidth="1"/>
    <col min="8" max="8" width="14.57421875" style="0" bestFit="1" customWidth="1"/>
    <col min="9" max="9" width="14.7109375" style="0" customWidth="1"/>
    <col min="10" max="10" width="16.7109375" style="0" bestFit="1" customWidth="1"/>
    <col min="11" max="15" width="14.7109375" style="0" customWidth="1"/>
  </cols>
  <sheetData>
    <row r="1" spans="1:15" ht="61.5" customHeight="1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s="5" customFormat="1" ht="91.5" customHeight="1" thickBot="1">
      <c r="A2" s="80" t="s">
        <v>22</v>
      </c>
      <c r="B2" s="81"/>
      <c r="C2" s="81"/>
      <c r="D2" s="81"/>
      <c r="E2" s="82"/>
      <c r="F2" s="19" t="s">
        <v>23</v>
      </c>
      <c r="G2" s="17"/>
      <c r="H2" s="17"/>
      <c r="I2" s="17"/>
      <c r="J2" s="17"/>
      <c r="K2" s="17"/>
      <c r="L2" s="17"/>
      <c r="M2" s="17"/>
      <c r="N2" s="17"/>
      <c r="O2" s="18"/>
    </row>
    <row r="3" spans="1:15" s="4" customFormat="1" ht="24.75" customHeight="1" thickBot="1">
      <c r="A3" s="85" t="s">
        <v>4</v>
      </c>
      <c r="B3" s="88"/>
      <c r="C3" s="88"/>
      <c r="D3" s="88"/>
      <c r="E3" s="88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5" s="4" customFormat="1" ht="30.75" customHeight="1">
      <c r="A4" s="91" t="s">
        <v>5</v>
      </c>
      <c r="B4" s="92"/>
      <c r="C4" s="92"/>
      <c r="D4" s="92"/>
      <c r="E4" s="93"/>
      <c r="F4" s="16"/>
      <c r="G4" s="21"/>
      <c r="H4" s="21"/>
      <c r="I4" s="21"/>
      <c r="J4" s="21"/>
      <c r="K4" s="21"/>
      <c r="L4" s="48"/>
      <c r="M4" s="21"/>
      <c r="N4" s="21"/>
      <c r="O4" s="22"/>
    </row>
    <row r="5" spans="1:15" ht="30.75" customHeight="1">
      <c r="A5" s="66" t="s">
        <v>7</v>
      </c>
      <c r="B5" s="65"/>
      <c r="C5" s="65"/>
      <c r="D5" s="65"/>
      <c r="E5" s="65"/>
      <c r="F5" s="15"/>
      <c r="G5" s="8"/>
      <c r="H5" s="8"/>
      <c r="I5" s="8"/>
      <c r="J5" s="8"/>
      <c r="K5" s="8"/>
      <c r="L5" s="49"/>
      <c r="M5" s="8"/>
      <c r="N5" s="8"/>
      <c r="O5" s="23"/>
    </row>
    <row r="6" spans="1:15" ht="30.75" customHeight="1">
      <c r="A6" s="66" t="s">
        <v>2</v>
      </c>
      <c r="B6" s="65"/>
      <c r="C6" s="65"/>
      <c r="D6" s="65"/>
      <c r="E6" s="65"/>
      <c r="F6" s="15"/>
      <c r="G6" s="8"/>
      <c r="H6" s="8"/>
      <c r="I6" s="8"/>
      <c r="J6" s="8"/>
      <c r="K6" s="8"/>
      <c r="L6" s="49"/>
      <c r="M6" s="8"/>
      <c r="N6" s="8"/>
      <c r="O6" s="23"/>
    </row>
    <row r="7" spans="1:15" ht="30.75" customHeight="1">
      <c r="A7" s="94" t="s">
        <v>1</v>
      </c>
      <c r="B7" s="95"/>
      <c r="C7" s="95"/>
      <c r="D7" s="95"/>
      <c r="E7" s="96"/>
      <c r="F7" s="15"/>
      <c r="G7" s="8"/>
      <c r="H7" s="8"/>
      <c r="I7" s="8"/>
      <c r="J7" s="8"/>
      <c r="K7" s="8"/>
      <c r="L7" s="49"/>
      <c r="M7" s="8"/>
      <c r="N7" s="8"/>
      <c r="O7" s="23"/>
    </row>
    <row r="8" spans="1:15" ht="30.75" customHeight="1">
      <c r="A8" s="66" t="s">
        <v>3</v>
      </c>
      <c r="B8" s="65"/>
      <c r="C8" s="65"/>
      <c r="D8" s="65"/>
      <c r="E8" s="65"/>
      <c r="F8" s="35" t="e">
        <f aca="true" t="shared" si="0" ref="F8:O8">F5/F4</f>
        <v>#DIV/0!</v>
      </c>
      <c r="G8" s="13" t="e">
        <f t="shared" si="0"/>
        <v>#DIV/0!</v>
      </c>
      <c r="H8" s="13" t="e">
        <f t="shared" si="0"/>
        <v>#DIV/0!</v>
      </c>
      <c r="I8" s="13" t="e">
        <f t="shared" si="0"/>
        <v>#DIV/0!</v>
      </c>
      <c r="J8" s="13" t="e">
        <f t="shared" si="0"/>
        <v>#DIV/0!</v>
      </c>
      <c r="K8" s="13" t="e">
        <f t="shared" si="0"/>
        <v>#DIV/0!</v>
      </c>
      <c r="L8" s="50" t="e">
        <f t="shared" si="0"/>
        <v>#DIV/0!</v>
      </c>
      <c r="M8" s="13" t="e">
        <f t="shared" si="0"/>
        <v>#DIV/0!</v>
      </c>
      <c r="N8" s="13" t="e">
        <f t="shared" si="0"/>
        <v>#DIV/0!</v>
      </c>
      <c r="O8" s="24" t="e">
        <f t="shared" si="0"/>
        <v>#DIV/0!</v>
      </c>
    </row>
    <row r="9" spans="1:15" ht="30.75" customHeight="1">
      <c r="A9" s="66" t="s">
        <v>6</v>
      </c>
      <c r="B9" s="65"/>
      <c r="C9" s="65"/>
      <c r="D9" s="65"/>
      <c r="E9" s="65"/>
      <c r="F9" s="35" t="e">
        <f aca="true" t="shared" si="1" ref="F9:O9">F7/F4</f>
        <v>#DIV/0!</v>
      </c>
      <c r="G9" s="13" t="e">
        <f t="shared" si="1"/>
        <v>#DIV/0!</v>
      </c>
      <c r="H9" s="13" t="e">
        <f t="shared" si="1"/>
        <v>#DIV/0!</v>
      </c>
      <c r="I9" s="13" t="e">
        <f t="shared" si="1"/>
        <v>#DIV/0!</v>
      </c>
      <c r="J9" s="13" t="e">
        <f t="shared" si="1"/>
        <v>#DIV/0!</v>
      </c>
      <c r="K9" s="13" t="e">
        <f t="shared" si="1"/>
        <v>#DIV/0!</v>
      </c>
      <c r="L9" s="50" t="e">
        <f t="shared" si="1"/>
        <v>#DIV/0!</v>
      </c>
      <c r="M9" s="13" t="e">
        <f t="shared" si="1"/>
        <v>#DIV/0!</v>
      </c>
      <c r="N9" s="13" t="e">
        <f t="shared" si="1"/>
        <v>#DIV/0!</v>
      </c>
      <c r="O9" s="24" t="e">
        <f t="shared" si="1"/>
        <v>#DIV/0!</v>
      </c>
    </row>
    <row r="10" spans="1:15" ht="30.75" customHeight="1" thickBot="1">
      <c r="A10" s="83" t="s">
        <v>8</v>
      </c>
      <c r="B10" s="84"/>
      <c r="C10" s="84"/>
      <c r="D10" s="84"/>
      <c r="E10" s="84"/>
      <c r="F10" s="57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4.75" customHeight="1" thickBot="1">
      <c r="A11" s="85"/>
      <c r="B11" s="86"/>
      <c r="C11" s="86"/>
      <c r="D11" s="86"/>
      <c r="E11" s="86"/>
      <c r="F11" s="87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30.75" customHeight="1">
      <c r="A12" s="61" t="s">
        <v>10</v>
      </c>
      <c r="B12" s="62"/>
      <c r="C12" s="62"/>
      <c r="D12" s="62"/>
      <c r="E12" s="63"/>
      <c r="F12" s="27"/>
      <c r="G12" s="28"/>
      <c r="H12" s="28"/>
      <c r="I12" s="28"/>
      <c r="J12" s="28"/>
      <c r="K12" s="28"/>
      <c r="L12" s="51"/>
      <c r="M12" s="51"/>
      <c r="N12" s="28"/>
      <c r="O12" s="29"/>
    </row>
    <row r="13" spans="1:15" ht="30.75" customHeight="1">
      <c r="A13" s="71" t="s">
        <v>21</v>
      </c>
      <c r="B13" s="72"/>
      <c r="C13" s="72"/>
      <c r="D13" s="72"/>
      <c r="E13" s="73"/>
      <c r="F13" s="30"/>
      <c r="G13" s="25"/>
      <c r="H13" s="25"/>
      <c r="I13" s="25"/>
      <c r="J13" s="25"/>
      <c r="K13" s="25"/>
      <c r="L13" s="52"/>
      <c r="M13" s="52"/>
      <c r="N13" s="25"/>
      <c r="O13" s="26"/>
    </row>
    <row r="14" spans="1:15" ht="30.75" customHeight="1">
      <c r="A14" s="71" t="s">
        <v>11</v>
      </c>
      <c r="B14" s="72"/>
      <c r="C14" s="72"/>
      <c r="D14" s="72"/>
      <c r="E14" s="73"/>
      <c r="F14" s="30"/>
      <c r="G14" s="25"/>
      <c r="H14" s="25"/>
      <c r="I14" s="25"/>
      <c r="J14" s="25"/>
      <c r="K14" s="25"/>
      <c r="L14" s="52"/>
      <c r="M14" s="52"/>
      <c r="N14" s="25"/>
      <c r="O14" s="26"/>
    </row>
    <row r="15" spans="1:15" ht="30.75" customHeight="1">
      <c r="A15" s="64" t="s">
        <v>12</v>
      </c>
      <c r="B15" s="65"/>
      <c r="C15" s="65"/>
      <c r="D15" s="65"/>
      <c r="E15" s="65"/>
      <c r="F15" s="30"/>
      <c r="G15" s="25"/>
      <c r="H15" s="25"/>
      <c r="I15" s="25"/>
      <c r="J15" s="25"/>
      <c r="K15" s="25"/>
      <c r="L15" s="52"/>
      <c r="M15" s="52"/>
      <c r="N15" s="25"/>
      <c r="O15" s="26"/>
    </row>
    <row r="16" spans="1:15" ht="30.75" customHeight="1">
      <c r="A16" s="64" t="s">
        <v>20</v>
      </c>
      <c r="B16" s="65"/>
      <c r="C16" s="65"/>
      <c r="D16" s="65"/>
      <c r="E16" s="65"/>
      <c r="F16" s="30"/>
      <c r="G16" s="25"/>
      <c r="H16" s="25"/>
      <c r="I16" s="25"/>
      <c r="J16" s="25"/>
      <c r="K16" s="25"/>
      <c r="L16" s="52"/>
      <c r="M16" s="52"/>
      <c r="N16" s="25"/>
      <c r="O16" s="26"/>
    </row>
    <row r="17" spans="1:15" s="1" customFormat="1" ht="30.75" customHeight="1" thickBot="1">
      <c r="A17" s="97" t="s">
        <v>18</v>
      </c>
      <c r="B17" s="98"/>
      <c r="C17" s="98"/>
      <c r="D17" s="98"/>
      <c r="E17" s="99"/>
      <c r="F17" s="45"/>
      <c r="G17" s="46"/>
      <c r="H17" s="46"/>
      <c r="I17" s="46"/>
      <c r="J17" s="46"/>
      <c r="K17" s="46"/>
      <c r="L17" s="53"/>
      <c r="M17" s="53"/>
      <c r="N17" s="46"/>
      <c r="O17" s="47"/>
    </row>
    <row r="18" spans="1:15" s="1" customFormat="1" ht="24.75" customHeight="1" thickBot="1">
      <c r="A18" s="67" t="s">
        <v>19</v>
      </c>
      <c r="B18" s="68"/>
      <c r="C18" s="68"/>
      <c r="D18" s="68"/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2" customFormat="1" ht="24.75" customHeight="1">
      <c r="A19" s="74" t="s">
        <v>13</v>
      </c>
      <c r="B19" s="75"/>
      <c r="C19" s="75"/>
      <c r="D19" s="75"/>
      <c r="E19" s="76"/>
      <c r="F19" s="27"/>
      <c r="G19" s="28"/>
      <c r="H19" s="28"/>
      <c r="I19" s="28"/>
      <c r="J19" s="28"/>
      <c r="K19" s="28"/>
      <c r="L19" s="28"/>
      <c r="M19" s="51"/>
      <c r="N19" s="28"/>
      <c r="O19" s="29"/>
    </row>
    <row r="20" spans="1:15" s="2" customFormat="1" ht="30.75" customHeight="1">
      <c r="A20" s="71" t="s">
        <v>2</v>
      </c>
      <c r="B20" s="72"/>
      <c r="C20" s="72"/>
      <c r="D20" s="72"/>
      <c r="E20" s="73"/>
      <c r="F20" s="30"/>
      <c r="G20" s="25"/>
      <c r="H20" s="25"/>
      <c r="I20" s="25"/>
      <c r="J20" s="25"/>
      <c r="K20" s="25"/>
      <c r="L20" s="25"/>
      <c r="M20" s="52"/>
      <c r="N20" s="25"/>
      <c r="O20" s="26"/>
    </row>
    <row r="21" spans="1:15" s="2" customFormat="1" ht="30.75" customHeight="1">
      <c r="A21" s="71" t="s">
        <v>14</v>
      </c>
      <c r="B21" s="72"/>
      <c r="C21" s="72"/>
      <c r="D21" s="72"/>
      <c r="E21" s="73"/>
      <c r="F21" s="30"/>
      <c r="G21" s="25"/>
      <c r="H21" s="25"/>
      <c r="I21" s="25"/>
      <c r="J21" s="25"/>
      <c r="K21" s="25"/>
      <c r="L21" s="25"/>
      <c r="M21" s="52"/>
      <c r="N21" s="25"/>
      <c r="O21" s="26"/>
    </row>
    <row r="22" spans="1:15" s="2" customFormat="1" ht="27.75" customHeight="1" thickBot="1">
      <c r="A22" s="109" t="s">
        <v>15</v>
      </c>
      <c r="B22" s="110"/>
      <c r="C22" s="110"/>
      <c r="D22" s="110"/>
      <c r="E22" s="111"/>
      <c r="F22" s="41"/>
      <c r="G22" s="40"/>
      <c r="H22" s="40"/>
      <c r="I22" s="40"/>
      <c r="J22" s="40"/>
      <c r="K22" s="40"/>
      <c r="L22" s="56"/>
      <c r="M22" s="43"/>
      <c r="N22" s="39"/>
      <c r="O22" s="42"/>
    </row>
    <row r="23" spans="1:15" s="2" customFormat="1" ht="24.75" customHeight="1" thickBot="1">
      <c r="A23" s="85" t="s">
        <v>16</v>
      </c>
      <c r="B23" s="102"/>
      <c r="C23" s="102"/>
      <c r="D23" s="102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spans="1:15" s="2" customFormat="1" ht="30.75" customHeight="1">
      <c r="A24" s="105" t="s">
        <v>13</v>
      </c>
      <c r="B24" s="106"/>
      <c r="C24" s="106"/>
      <c r="D24" s="106"/>
      <c r="E24" s="106"/>
      <c r="F24" s="31"/>
      <c r="G24" s="32"/>
      <c r="H24" s="32"/>
      <c r="I24" s="32"/>
      <c r="J24" s="32"/>
      <c r="K24" s="32"/>
      <c r="L24" s="54"/>
      <c r="M24" s="32"/>
      <c r="N24" s="32"/>
      <c r="O24" s="33"/>
    </row>
    <row r="25" spans="1:15" s="2" customFormat="1" ht="30.75" customHeight="1">
      <c r="A25" s="107" t="s">
        <v>2</v>
      </c>
      <c r="B25" s="108"/>
      <c r="C25" s="108"/>
      <c r="D25" s="108"/>
      <c r="E25" s="108"/>
      <c r="F25" s="34"/>
      <c r="G25" s="14"/>
      <c r="H25" s="14"/>
      <c r="I25" s="14"/>
      <c r="J25" s="14"/>
      <c r="K25" s="14"/>
      <c r="L25" s="55"/>
      <c r="M25" s="14"/>
      <c r="N25" s="14"/>
      <c r="O25" s="20"/>
    </row>
    <row r="26" spans="1:15" s="2" customFormat="1" ht="30.75" customHeight="1">
      <c r="A26" s="107" t="s">
        <v>14</v>
      </c>
      <c r="B26" s="108"/>
      <c r="C26" s="108"/>
      <c r="D26" s="108"/>
      <c r="E26" s="108"/>
      <c r="F26" s="34"/>
      <c r="G26" s="14"/>
      <c r="H26" s="14"/>
      <c r="I26" s="14"/>
      <c r="J26" s="14"/>
      <c r="K26" s="14"/>
      <c r="L26" s="55"/>
      <c r="M26" s="14"/>
      <c r="N26" s="14"/>
      <c r="O26" s="20"/>
    </row>
    <row r="27" spans="1:15" s="2" customFormat="1" ht="30.75" customHeight="1">
      <c r="A27" s="107" t="s">
        <v>17</v>
      </c>
      <c r="B27" s="65"/>
      <c r="C27" s="65"/>
      <c r="D27" s="65"/>
      <c r="E27" s="112"/>
      <c r="F27" s="36"/>
      <c r="G27" s="37"/>
      <c r="H27" s="37"/>
      <c r="I27" s="37"/>
      <c r="J27" s="37"/>
      <c r="K27" s="37"/>
      <c r="L27" s="55"/>
      <c r="M27" s="37"/>
      <c r="N27" s="37"/>
      <c r="O27" s="38"/>
    </row>
    <row r="28" spans="1:15" ht="27.75" customHeight="1" thickBot="1">
      <c r="A28" s="100" t="s">
        <v>15</v>
      </c>
      <c r="B28" s="101"/>
      <c r="C28" s="101"/>
      <c r="D28" s="101"/>
      <c r="E28" s="101"/>
      <c r="F28" s="41"/>
      <c r="G28" s="40"/>
      <c r="H28" s="40"/>
      <c r="I28" s="40"/>
      <c r="J28" s="40"/>
      <c r="K28" s="40"/>
      <c r="L28" s="40"/>
      <c r="M28" s="40"/>
      <c r="N28" s="43"/>
      <c r="O28" s="44"/>
    </row>
    <row r="29" spans="1:15" ht="30.75" customHeight="1">
      <c r="A29" s="60" t="s">
        <v>9</v>
      </c>
      <c r="B29" s="60"/>
      <c r="C29" s="60"/>
      <c r="D29" s="60"/>
      <c r="E29" s="60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7:8" ht="30.75" customHeight="1">
      <c r="G30" s="7"/>
      <c r="H30" s="7"/>
    </row>
    <row r="31" spans="7:8" ht="30.75" customHeight="1">
      <c r="G31" s="7"/>
      <c r="H31" s="7"/>
    </row>
    <row r="32" ht="30.75" customHeight="1"/>
    <row r="33" spans="8:9" ht="30.75" customHeight="1">
      <c r="H33" s="7"/>
      <c r="I33" s="7"/>
    </row>
    <row r="34" ht="30.75" customHeight="1">
      <c r="H34" s="7"/>
    </row>
    <row r="35" ht="30.75" customHeight="1"/>
    <row r="36" spans="8:9" ht="24.75" customHeight="1">
      <c r="H36" s="7"/>
      <c r="I36" s="7"/>
    </row>
    <row r="37" ht="30.75" customHeight="1">
      <c r="J37" s="6"/>
    </row>
    <row r="38" ht="30.75" customHeight="1">
      <c r="G38" s="7"/>
    </row>
    <row r="39" ht="30.75" customHeight="1">
      <c r="I39" s="7"/>
    </row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8" ht="62.25" customHeight="1"/>
    <row r="49" ht="24.75" customHeight="1"/>
    <row r="50" ht="30.75" customHeight="1">
      <c r="G50" s="6"/>
    </row>
    <row r="51" ht="30.75" customHeight="1"/>
    <row r="52" ht="30.75" customHeight="1"/>
    <row r="53" ht="30.75" customHeight="1"/>
    <row r="54" ht="24.75" customHeight="1"/>
    <row r="55" ht="24.75" customHeight="1"/>
    <row r="56" ht="30.75" customHeight="1"/>
    <row r="57" ht="30.75" customHeight="1"/>
    <row r="58" ht="30.75" customHeight="1"/>
    <row r="59" ht="30.75" customHeight="1"/>
    <row r="60" ht="24.75" customHeight="1"/>
    <row r="61" ht="24.75" customHeight="1"/>
    <row r="62" ht="30.75" customHeight="1"/>
    <row r="63" ht="30.75" customHeight="1"/>
    <row r="64" spans="1:15" s="2" customFormat="1" ht="30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2" customFormat="1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2" customFormat="1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2" customFormat="1" ht="30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2" customFormat="1" ht="30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2" customFormat="1" ht="30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2" customFormat="1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2" customFormat="1" ht="33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2" customFormat="1" ht="33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2" customFormat="1" ht="33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2" customFormat="1" ht="33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2" customFormat="1" ht="33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2" customFormat="1" ht="31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2" customFormat="1" ht="29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4" s="2" customFormat="1" ht="33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"/>
      <c r="Q78" s="10"/>
      <c r="R78" s="10"/>
      <c r="S78" s="10"/>
      <c r="T78" s="10"/>
      <c r="U78" s="10"/>
      <c r="V78" s="10"/>
      <c r="W78" s="10"/>
      <c r="X78" s="11"/>
    </row>
    <row r="79" spans="1:24" s="2" customFormat="1" ht="33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"/>
      <c r="Q79" s="10"/>
      <c r="R79" s="10"/>
      <c r="S79" s="10"/>
      <c r="T79" s="10"/>
      <c r="U79" s="10"/>
      <c r="V79" s="10"/>
      <c r="W79" s="10"/>
      <c r="X79" s="11"/>
    </row>
    <row r="80" spans="1:24" s="2" customFormat="1" ht="30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"/>
      <c r="Q80" s="10"/>
      <c r="R80" s="10"/>
      <c r="S80" s="10"/>
      <c r="T80" s="10"/>
      <c r="U80" s="10"/>
      <c r="V80" s="10"/>
      <c r="W80" s="10"/>
      <c r="X80" s="11"/>
    </row>
    <row r="81" spans="1:24" s="2" customFormat="1" ht="30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"/>
      <c r="Q81" s="10"/>
      <c r="R81" s="10"/>
      <c r="S81" s="10"/>
      <c r="T81" s="10"/>
      <c r="U81" s="10"/>
      <c r="V81" s="10"/>
      <c r="W81" s="10"/>
      <c r="X81" s="11"/>
    </row>
    <row r="82" spans="1:24" s="2" customFormat="1" ht="31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"/>
      <c r="Q82" s="10"/>
      <c r="R82" s="10"/>
      <c r="S82" s="10"/>
      <c r="T82" s="10"/>
      <c r="U82" s="10"/>
      <c r="V82" s="10"/>
      <c r="W82" s="10"/>
      <c r="X82" s="11"/>
    </row>
    <row r="83" spans="1:24" s="2" customFormat="1" ht="33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10"/>
      <c r="Q83" s="10"/>
      <c r="R83" s="10"/>
      <c r="S83" s="10"/>
      <c r="T83" s="10"/>
      <c r="U83" s="10"/>
      <c r="V83" s="10"/>
      <c r="W83" s="10"/>
      <c r="X83" s="12"/>
    </row>
    <row r="84" spans="1:15" s="2" customFormat="1" ht="33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2" customFormat="1" ht="33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2" customFormat="1" ht="33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2" customFormat="1" ht="30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2" customFormat="1" ht="24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2" customFormat="1" ht="24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1" spans="1:15" s="3" customFormat="1" ht="24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3" customFormat="1" ht="24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3" customFormat="1" ht="24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103" ht="24.75" customHeight="1"/>
    <row r="104" ht="24.75" customHeight="1"/>
    <row r="105" ht="24.75" customHeight="1"/>
    <row r="106" ht="24.75" customHeight="1"/>
  </sheetData>
  <sheetProtection/>
  <mergeCells count="29">
    <mergeCell ref="A17:E17"/>
    <mergeCell ref="A28:E28"/>
    <mergeCell ref="A23:O23"/>
    <mergeCell ref="A21:E21"/>
    <mergeCell ref="A24:E24"/>
    <mergeCell ref="A25:E25"/>
    <mergeCell ref="A22:E22"/>
    <mergeCell ref="A26:E26"/>
    <mergeCell ref="A27:E27"/>
    <mergeCell ref="A1:O1"/>
    <mergeCell ref="A2:E2"/>
    <mergeCell ref="A10:E10"/>
    <mergeCell ref="A11:O11"/>
    <mergeCell ref="A3:O3"/>
    <mergeCell ref="A8:E8"/>
    <mergeCell ref="A5:E5"/>
    <mergeCell ref="A6:E6"/>
    <mergeCell ref="A4:E4"/>
    <mergeCell ref="A7:E7"/>
    <mergeCell ref="A29:E29"/>
    <mergeCell ref="A12:E12"/>
    <mergeCell ref="A16:E16"/>
    <mergeCell ref="A9:E9"/>
    <mergeCell ref="A18:O18"/>
    <mergeCell ref="A13:E13"/>
    <mergeCell ref="A14:E14"/>
    <mergeCell ref="A19:E19"/>
    <mergeCell ref="A20:E20"/>
    <mergeCell ref="A15:E15"/>
  </mergeCells>
  <printOptions horizontalCentered="1" verticalCentered="1"/>
  <pageMargins left="0.5" right="0.5" top="0.75" bottom="0.75" header="0.5" footer="0.5"/>
  <pageSetup horizontalDpi="600" verticalDpi="600" orientation="landscape" scale="42" r:id="rId1"/>
  <rowBreaks count="2" manualBreakCount="2">
    <brk id="29" max="23" man="1"/>
    <brk id="46" max="26" man="1"/>
  </rowBreaks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11"/>
  <sheetViews>
    <sheetView zoomScalePageLayoutView="0" workbookViewId="0" topLeftCell="A1">
      <selection activeCell="DK11" sqref="DK11"/>
    </sheetView>
  </sheetViews>
  <sheetFormatPr defaultColWidth="9.140625" defaultRowHeight="12.75"/>
  <sheetData>
    <row r="1" spans="1:256" ht="12.75">
      <c r="A1" t="e">
        <f>IF('score card (2)'!1:1,"AAAAAHf9/gA=",0)</f>
        <v>#VALUE!</v>
      </c>
      <c r="B1" t="e">
        <f>AND('score card (2)'!A1,"AAAAAHf9/gE=")</f>
        <v>#VALUE!</v>
      </c>
      <c r="C1" t="e">
        <f>AND('score card (2)'!B1,"AAAAAHf9/gI=")</f>
        <v>#VALUE!</v>
      </c>
      <c r="D1" t="e">
        <f>AND('score card (2)'!C1,"AAAAAHf9/gM=")</f>
        <v>#VALUE!</v>
      </c>
      <c r="E1" t="e">
        <f>AND('score card (2)'!D1,"AAAAAHf9/gQ=")</f>
        <v>#VALUE!</v>
      </c>
      <c r="F1" t="e">
        <f>AND('score card (2)'!E1,"AAAAAHf9/gU=")</f>
        <v>#VALUE!</v>
      </c>
      <c r="G1" t="e">
        <f>AND('score card (2)'!F1,"AAAAAHf9/gY=")</f>
        <v>#VALUE!</v>
      </c>
      <c r="H1" t="e">
        <f>AND('score card (2)'!G1,"AAAAAHf9/gc=")</f>
        <v>#VALUE!</v>
      </c>
      <c r="I1" t="e">
        <f>AND('score card (2)'!H1,"AAAAAHf9/gg=")</f>
        <v>#VALUE!</v>
      </c>
      <c r="J1" t="e">
        <f>AND('score card (2)'!I1,"AAAAAHf9/gk=")</f>
        <v>#VALUE!</v>
      </c>
      <c r="K1" t="e">
        <f>AND('score card (2)'!J1,"AAAAAHf9/go=")</f>
        <v>#VALUE!</v>
      </c>
      <c r="L1" t="e">
        <f>AND('score card (2)'!K1,"AAAAAHf9/gs=")</f>
        <v>#VALUE!</v>
      </c>
      <c r="M1" t="e">
        <f>AND('score card (2)'!L1,"AAAAAHf9/gw=")</f>
        <v>#VALUE!</v>
      </c>
      <c r="N1" t="e">
        <f>AND('score card (2)'!M1,"AAAAAHf9/g0=")</f>
        <v>#VALUE!</v>
      </c>
      <c r="O1" t="e">
        <f>AND('score card (2)'!N1,"AAAAAHf9/g4=")</f>
        <v>#VALUE!</v>
      </c>
      <c r="P1" t="e">
        <f>AND('score card (2)'!O1,"AAAAAHf9/g8=")</f>
        <v>#VALUE!</v>
      </c>
      <c r="Q1" t="e">
        <f>AND('score card (2)'!P1,"AAAAAHf9/hA=")</f>
        <v>#VALUE!</v>
      </c>
      <c r="R1" t="e">
        <f>AND('score card (2)'!Q1,"AAAAAHf9/hE=")</f>
        <v>#VALUE!</v>
      </c>
      <c r="S1" t="e">
        <f>AND('score card (2)'!R1,"AAAAAHf9/hI=")</f>
        <v>#VALUE!</v>
      </c>
      <c r="T1" t="e">
        <f>AND('score card (2)'!S1,"AAAAAHf9/hM=")</f>
        <v>#VALUE!</v>
      </c>
      <c r="U1" t="e">
        <f>AND('score card (2)'!T1,"AAAAAHf9/hQ=")</f>
        <v>#VALUE!</v>
      </c>
      <c r="V1" t="e">
        <f>AND('score card (2)'!U1,"AAAAAHf9/hU=")</f>
        <v>#VALUE!</v>
      </c>
      <c r="W1" t="e">
        <f>AND('score card (2)'!V1,"AAAAAHf9/hY=")</f>
        <v>#VALUE!</v>
      </c>
      <c r="X1" t="e">
        <f>AND('score card (2)'!W1,"AAAAAHf9/hc=")</f>
        <v>#VALUE!</v>
      </c>
      <c r="Y1" t="e">
        <f>AND('score card (2)'!X1,"AAAAAHf9/hg=")</f>
        <v>#VALUE!</v>
      </c>
      <c r="Z1">
        <f>IF('score card (2)'!2:2,"AAAAAHf9/hk=",0)</f>
        <v>0</v>
      </c>
      <c r="AA1" t="e">
        <f>AND('score card (2)'!A2,"AAAAAHf9/ho=")</f>
        <v>#VALUE!</v>
      </c>
      <c r="AB1" t="e">
        <f>AND('score card (2)'!B2,"AAAAAHf9/hs=")</f>
        <v>#VALUE!</v>
      </c>
      <c r="AC1" t="e">
        <f>AND('score card (2)'!C2,"AAAAAHf9/hw=")</f>
        <v>#VALUE!</v>
      </c>
      <c r="AD1" t="e">
        <f>AND('score card (2)'!D2,"AAAAAHf9/h0=")</f>
        <v>#VALUE!</v>
      </c>
      <c r="AE1" t="e">
        <f>AND('score card (2)'!E2,"AAAAAHf9/h4=")</f>
        <v>#VALUE!</v>
      </c>
      <c r="AF1" t="e">
        <f>AND('score card (2)'!F2,"AAAAAHf9/h8=")</f>
        <v>#VALUE!</v>
      </c>
      <c r="AG1" t="e">
        <f>AND('score card (2)'!G2,"AAAAAHf9/iA=")</f>
        <v>#VALUE!</v>
      </c>
      <c r="AH1" t="e">
        <f>AND('score card (2)'!H2,"AAAAAHf9/iE=")</f>
        <v>#VALUE!</v>
      </c>
      <c r="AI1" t="e">
        <f>AND('score card (2)'!I2,"AAAAAHf9/iI=")</f>
        <v>#VALUE!</v>
      </c>
      <c r="AJ1" t="e">
        <f>AND('score card (2)'!J2,"AAAAAHf9/iM=")</f>
        <v>#VALUE!</v>
      </c>
      <c r="AK1" t="e">
        <f>AND('score card (2)'!K2,"AAAAAHf9/iQ=")</f>
        <v>#VALUE!</v>
      </c>
      <c r="AL1" t="e">
        <f>AND('score card (2)'!L2,"AAAAAHf9/iU=")</f>
        <v>#VALUE!</v>
      </c>
      <c r="AM1" t="e">
        <f>AND('score card (2)'!M2,"AAAAAHf9/iY=")</f>
        <v>#VALUE!</v>
      </c>
      <c r="AN1" t="e">
        <f>AND('score card (2)'!N2,"AAAAAHf9/ic=")</f>
        <v>#VALUE!</v>
      </c>
      <c r="AO1" t="e">
        <f>AND('score card (2)'!O2,"AAAAAHf9/ig=")</f>
        <v>#VALUE!</v>
      </c>
      <c r="AP1" t="e">
        <f>AND('score card (2)'!P2,"AAAAAHf9/ik=")</f>
        <v>#VALUE!</v>
      </c>
      <c r="AQ1" t="e">
        <f>AND('score card (2)'!Q2,"AAAAAHf9/io=")</f>
        <v>#VALUE!</v>
      </c>
      <c r="AR1" t="e">
        <f>AND('score card (2)'!R2,"AAAAAHf9/is=")</f>
        <v>#VALUE!</v>
      </c>
      <c r="AS1" t="e">
        <f>AND('score card (2)'!S2,"AAAAAHf9/iw=")</f>
        <v>#VALUE!</v>
      </c>
      <c r="AT1" t="e">
        <f>AND('score card (2)'!T2,"AAAAAHf9/i0=")</f>
        <v>#VALUE!</v>
      </c>
      <c r="AU1" t="e">
        <f>AND('score card (2)'!U2,"AAAAAHf9/i4=")</f>
        <v>#VALUE!</v>
      </c>
      <c r="AV1" t="e">
        <f>AND('score card (2)'!V2,"AAAAAHf9/i8=")</f>
        <v>#VALUE!</v>
      </c>
      <c r="AW1" t="e">
        <f>AND('score card (2)'!W2,"AAAAAHf9/jA=")</f>
        <v>#VALUE!</v>
      </c>
      <c r="AX1" t="e">
        <f>AND('score card (2)'!X2,"AAAAAHf9/jE=")</f>
        <v>#VALUE!</v>
      </c>
      <c r="AY1">
        <f>IF('score card (2)'!3:3,"AAAAAHf9/jI=",0)</f>
        <v>0</v>
      </c>
      <c r="AZ1" t="e">
        <f>AND('score card (2)'!A3,"AAAAAHf9/jM=")</f>
        <v>#VALUE!</v>
      </c>
      <c r="BA1" t="e">
        <f>AND('score card (2)'!B3,"AAAAAHf9/jQ=")</f>
        <v>#VALUE!</v>
      </c>
      <c r="BB1" t="e">
        <f>AND('score card (2)'!C3,"AAAAAHf9/jU=")</f>
        <v>#VALUE!</v>
      </c>
      <c r="BC1" t="e">
        <f>AND('score card (2)'!D3,"AAAAAHf9/jY=")</f>
        <v>#VALUE!</v>
      </c>
      <c r="BD1" t="e">
        <f>AND('score card (2)'!E3,"AAAAAHf9/jc=")</f>
        <v>#VALUE!</v>
      </c>
      <c r="BE1" t="e">
        <f>AND('score card (2)'!F3,"AAAAAHf9/jg=")</f>
        <v>#VALUE!</v>
      </c>
      <c r="BF1" t="e">
        <f>AND('score card (2)'!G3,"AAAAAHf9/jk=")</f>
        <v>#VALUE!</v>
      </c>
      <c r="BG1" t="e">
        <f>AND('score card (2)'!H3,"AAAAAHf9/jo=")</f>
        <v>#VALUE!</v>
      </c>
      <c r="BH1" t="e">
        <f>AND('score card (2)'!I3,"AAAAAHf9/js=")</f>
        <v>#VALUE!</v>
      </c>
      <c r="BI1" t="e">
        <f>AND('score card (2)'!J3,"AAAAAHf9/jw=")</f>
        <v>#VALUE!</v>
      </c>
      <c r="BJ1" t="e">
        <f>AND('score card (2)'!K3,"AAAAAHf9/j0=")</f>
        <v>#VALUE!</v>
      </c>
      <c r="BK1" t="e">
        <f>AND('score card (2)'!L3,"AAAAAHf9/j4=")</f>
        <v>#VALUE!</v>
      </c>
      <c r="BL1" t="e">
        <f>AND('score card (2)'!M3,"AAAAAHf9/j8=")</f>
        <v>#VALUE!</v>
      </c>
      <c r="BM1" t="e">
        <f>AND('score card (2)'!N3,"AAAAAHf9/kA=")</f>
        <v>#VALUE!</v>
      </c>
      <c r="BN1" t="e">
        <f>AND('score card (2)'!O3,"AAAAAHf9/kE=")</f>
        <v>#VALUE!</v>
      </c>
      <c r="BO1" t="e">
        <f>AND('score card (2)'!P3,"AAAAAHf9/kI=")</f>
        <v>#VALUE!</v>
      </c>
      <c r="BP1" t="e">
        <f>AND('score card (2)'!Q3,"AAAAAHf9/kM=")</f>
        <v>#VALUE!</v>
      </c>
      <c r="BQ1" t="e">
        <f>AND('score card (2)'!R3,"AAAAAHf9/kQ=")</f>
        <v>#VALUE!</v>
      </c>
      <c r="BR1" t="e">
        <f>AND('score card (2)'!S3,"AAAAAHf9/kU=")</f>
        <v>#VALUE!</v>
      </c>
      <c r="BS1" t="e">
        <f>AND('score card (2)'!T3,"AAAAAHf9/kY=")</f>
        <v>#VALUE!</v>
      </c>
      <c r="BT1" t="e">
        <f>AND('score card (2)'!U3,"AAAAAHf9/kc=")</f>
        <v>#VALUE!</v>
      </c>
      <c r="BU1" t="e">
        <f>AND('score card (2)'!V3,"AAAAAHf9/kg=")</f>
        <v>#VALUE!</v>
      </c>
      <c r="BV1" t="e">
        <f>AND('score card (2)'!W3,"AAAAAHf9/kk=")</f>
        <v>#VALUE!</v>
      </c>
      <c r="BW1" t="e">
        <f>AND('score card (2)'!X3,"AAAAAHf9/ko=")</f>
        <v>#VALUE!</v>
      </c>
      <c r="BX1">
        <f>IF('score card (2)'!4:4,"AAAAAHf9/ks=",0)</f>
        <v>0</v>
      </c>
      <c r="BY1" t="e">
        <f>AND('score card (2)'!A4,"AAAAAHf9/kw=")</f>
        <v>#VALUE!</v>
      </c>
      <c r="BZ1" t="e">
        <f>AND('score card (2)'!B4,"AAAAAHf9/k0=")</f>
        <v>#VALUE!</v>
      </c>
      <c r="CA1" t="e">
        <f>AND('score card (2)'!C4,"AAAAAHf9/k4=")</f>
        <v>#VALUE!</v>
      </c>
      <c r="CB1" t="e">
        <f>AND('score card (2)'!D4,"AAAAAHf9/k8=")</f>
        <v>#VALUE!</v>
      </c>
      <c r="CC1" t="e">
        <f>AND('score card (2)'!E4,"AAAAAHf9/lA=")</f>
        <v>#VALUE!</v>
      </c>
      <c r="CD1" t="e">
        <f>AND('score card (2)'!F4,"AAAAAHf9/lE=")</f>
        <v>#VALUE!</v>
      </c>
      <c r="CE1" t="e">
        <f>AND('score card (2)'!G4,"AAAAAHf9/lI=")</f>
        <v>#VALUE!</v>
      </c>
      <c r="CF1" t="e">
        <f>AND('score card (2)'!H4,"AAAAAHf9/lM=")</f>
        <v>#VALUE!</v>
      </c>
      <c r="CG1" t="e">
        <f>AND('score card (2)'!I4,"AAAAAHf9/lQ=")</f>
        <v>#VALUE!</v>
      </c>
      <c r="CH1" t="e">
        <f>AND('score card (2)'!J4,"AAAAAHf9/lU=")</f>
        <v>#VALUE!</v>
      </c>
      <c r="CI1" t="e">
        <f>AND('score card (2)'!K4,"AAAAAHf9/lY=")</f>
        <v>#VALUE!</v>
      </c>
      <c r="CJ1" t="e">
        <f>AND('score card (2)'!L4,"AAAAAHf9/lc=")</f>
        <v>#VALUE!</v>
      </c>
      <c r="CK1" t="e">
        <f>AND('score card (2)'!M4,"AAAAAHf9/lg=")</f>
        <v>#VALUE!</v>
      </c>
      <c r="CL1" t="e">
        <f>AND('score card (2)'!N4,"AAAAAHf9/lk=")</f>
        <v>#VALUE!</v>
      </c>
      <c r="CM1" t="e">
        <f>AND('score card (2)'!O4,"AAAAAHf9/lo=")</f>
        <v>#VALUE!</v>
      </c>
      <c r="CN1" t="e">
        <f>AND('score card (2)'!P4,"AAAAAHf9/ls=")</f>
        <v>#VALUE!</v>
      </c>
      <c r="CO1" t="e">
        <f>AND('score card (2)'!Q4,"AAAAAHf9/lw=")</f>
        <v>#VALUE!</v>
      </c>
      <c r="CP1" t="e">
        <f>AND('score card (2)'!R4,"AAAAAHf9/l0=")</f>
        <v>#VALUE!</v>
      </c>
      <c r="CQ1" t="e">
        <f>AND('score card (2)'!S4,"AAAAAHf9/l4=")</f>
        <v>#VALUE!</v>
      </c>
      <c r="CR1" t="e">
        <f>AND('score card (2)'!T4,"AAAAAHf9/l8=")</f>
        <v>#VALUE!</v>
      </c>
      <c r="CS1" t="e">
        <f>AND('score card (2)'!U4,"AAAAAHf9/mA=")</f>
        <v>#VALUE!</v>
      </c>
      <c r="CT1" t="e">
        <f>AND('score card (2)'!V4,"AAAAAHf9/mE=")</f>
        <v>#VALUE!</v>
      </c>
      <c r="CU1" t="e">
        <f>AND('score card (2)'!W4,"AAAAAHf9/mI=")</f>
        <v>#VALUE!</v>
      </c>
      <c r="CV1" t="e">
        <f>AND('score card (2)'!X4,"AAAAAHf9/mM=")</f>
        <v>#VALUE!</v>
      </c>
      <c r="CW1">
        <f>IF('score card (2)'!5:5,"AAAAAHf9/mQ=",0)</f>
        <v>0</v>
      </c>
      <c r="CX1" t="e">
        <f>AND('score card (2)'!A5,"AAAAAHf9/mU=")</f>
        <v>#VALUE!</v>
      </c>
      <c r="CY1" t="e">
        <f>AND('score card (2)'!B5,"AAAAAHf9/mY=")</f>
        <v>#VALUE!</v>
      </c>
      <c r="CZ1" t="e">
        <f>AND('score card (2)'!C5,"AAAAAHf9/mc=")</f>
        <v>#VALUE!</v>
      </c>
      <c r="DA1" t="e">
        <f>AND('score card (2)'!D5,"AAAAAHf9/mg=")</f>
        <v>#VALUE!</v>
      </c>
      <c r="DB1" t="e">
        <f>AND('score card (2)'!E5,"AAAAAHf9/mk=")</f>
        <v>#VALUE!</v>
      </c>
      <c r="DC1" t="e">
        <f>AND('score card (2)'!F5,"AAAAAHf9/mo=")</f>
        <v>#VALUE!</v>
      </c>
      <c r="DD1" t="e">
        <f>AND('score card (2)'!G5,"AAAAAHf9/ms=")</f>
        <v>#VALUE!</v>
      </c>
      <c r="DE1" t="e">
        <f>AND('score card (2)'!H5,"AAAAAHf9/mw=")</f>
        <v>#VALUE!</v>
      </c>
      <c r="DF1" t="e">
        <f>AND('score card (2)'!I5,"AAAAAHf9/m0=")</f>
        <v>#VALUE!</v>
      </c>
      <c r="DG1" t="e">
        <f>AND('score card (2)'!J5,"AAAAAHf9/m4=")</f>
        <v>#VALUE!</v>
      </c>
      <c r="DH1" t="e">
        <f>AND('score card (2)'!K5,"AAAAAHf9/m8=")</f>
        <v>#VALUE!</v>
      </c>
      <c r="DI1" t="e">
        <f>AND('score card (2)'!L5,"AAAAAHf9/nA=")</f>
        <v>#VALUE!</v>
      </c>
      <c r="DJ1" t="e">
        <f>AND('score card (2)'!M5,"AAAAAHf9/nE=")</f>
        <v>#VALUE!</v>
      </c>
      <c r="DK1" t="e">
        <f>AND('score card (2)'!N5,"AAAAAHf9/nI=")</f>
        <v>#VALUE!</v>
      </c>
      <c r="DL1" t="e">
        <f>AND('score card (2)'!O5,"AAAAAHf9/nM=")</f>
        <v>#VALUE!</v>
      </c>
      <c r="DM1" t="e">
        <f>AND('score card (2)'!P5,"AAAAAHf9/nQ=")</f>
        <v>#VALUE!</v>
      </c>
      <c r="DN1" t="e">
        <f>AND('score card (2)'!Q5,"AAAAAHf9/nU=")</f>
        <v>#VALUE!</v>
      </c>
      <c r="DO1" t="e">
        <f>AND('score card (2)'!R5,"AAAAAHf9/nY=")</f>
        <v>#VALUE!</v>
      </c>
      <c r="DP1" t="e">
        <f>AND('score card (2)'!S5,"AAAAAHf9/nc=")</f>
        <v>#VALUE!</v>
      </c>
      <c r="DQ1" t="e">
        <f>AND('score card (2)'!T5,"AAAAAHf9/ng=")</f>
        <v>#VALUE!</v>
      </c>
      <c r="DR1" t="e">
        <f>AND('score card (2)'!U5,"AAAAAHf9/nk=")</f>
        <v>#VALUE!</v>
      </c>
      <c r="DS1" t="e">
        <f>AND('score card (2)'!V5,"AAAAAHf9/no=")</f>
        <v>#VALUE!</v>
      </c>
      <c r="DT1" t="e">
        <f>AND('score card (2)'!W5,"AAAAAHf9/ns=")</f>
        <v>#VALUE!</v>
      </c>
      <c r="DU1" t="e">
        <f>AND('score card (2)'!X5,"AAAAAHf9/nw=")</f>
        <v>#VALUE!</v>
      </c>
      <c r="DV1">
        <f>IF('score card (2)'!6:6,"AAAAAHf9/n0=",0)</f>
        <v>0</v>
      </c>
      <c r="DW1" t="e">
        <f>AND('score card (2)'!A6,"AAAAAHf9/n4=")</f>
        <v>#VALUE!</v>
      </c>
      <c r="DX1" t="e">
        <f>AND('score card (2)'!B6,"AAAAAHf9/n8=")</f>
        <v>#VALUE!</v>
      </c>
      <c r="DY1" t="e">
        <f>AND('score card (2)'!C6,"AAAAAHf9/oA=")</f>
        <v>#VALUE!</v>
      </c>
      <c r="DZ1" t="e">
        <f>AND('score card (2)'!D6,"AAAAAHf9/oE=")</f>
        <v>#VALUE!</v>
      </c>
      <c r="EA1" t="e">
        <f>AND('score card (2)'!E6,"AAAAAHf9/oI=")</f>
        <v>#VALUE!</v>
      </c>
      <c r="EB1" t="e">
        <f>AND('score card (2)'!F6,"AAAAAHf9/oM=")</f>
        <v>#VALUE!</v>
      </c>
      <c r="EC1" t="e">
        <f>AND('score card (2)'!G6,"AAAAAHf9/oQ=")</f>
        <v>#VALUE!</v>
      </c>
      <c r="ED1" t="e">
        <f>AND('score card (2)'!H6,"AAAAAHf9/oU=")</f>
        <v>#VALUE!</v>
      </c>
      <c r="EE1" t="e">
        <f>AND('score card (2)'!I6,"AAAAAHf9/oY=")</f>
        <v>#VALUE!</v>
      </c>
      <c r="EF1" t="e">
        <f>AND('score card (2)'!J6,"AAAAAHf9/oc=")</f>
        <v>#VALUE!</v>
      </c>
      <c r="EG1" t="e">
        <f>AND('score card (2)'!K6,"AAAAAHf9/og=")</f>
        <v>#VALUE!</v>
      </c>
      <c r="EH1" t="e">
        <f>AND('score card (2)'!L6,"AAAAAHf9/ok=")</f>
        <v>#VALUE!</v>
      </c>
      <c r="EI1" t="e">
        <f>AND('score card (2)'!M6,"AAAAAHf9/oo=")</f>
        <v>#VALUE!</v>
      </c>
      <c r="EJ1" t="e">
        <f>AND('score card (2)'!N6,"AAAAAHf9/os=")</f>
        <v>#VALUE!</v>
      </c>
      <c r="EK1" t="e">
        <f>AND('score card (2)'!O6,"AAAAAHf9/ow=")</f>
        <v>#VALUE!</v>
      </c>
      <c r="EL1" t="e">
        <f>AND('score card (2)'!P6,"AAAAAHf9/o0=")</f>
        <v>#VALUE!</v>
      </c>
      <c r="EM1" t="e">
        <f>AND('score card (2)'!Q6,"AAAAAHf9/o4=")</f>
        <v>#VALUE!</v>
      </c>
      <c r="EN1" t="e">
        <f>AND('score card (2)'!R6,"AAAAAHf9/o8=")</f>
        <v>#VALUE!</v>
      </c>
      <c r="EO1" t="e">
        <f>AND('score card (2)'!S6,"AAAAAHf9/pA=")</f>
        <v>#VALUE!</v>
      </c>
      <c r="EP1" t="e">
        <f>AND('score card (2)'!T6,"AAAAAHf9/pE=")</f>
        <v>#VALUE!</v>
      </c>
      <c r="EQ1" t="e">
        <f>AND('score card (2)'!U6,"AAAAAHf9/pI=")</f>
        <v>#VALUE!</v>
      </c>
      <c r="ER1" t="e">
        <f>AND('score card (2)'!V6,"AAAAAHf9/pM=")</f>
        <v>#VALUE!</v>
      </c>
      <c r="ES1" t="e">
        <f>AND('score card (2)'!W6,"AAAAAHf9/pQ=")</f>
        <v>#VALUE!</v>
      </c>
      <c r="ET1" t="e">
        <f>AND('score card (2)'!X6,"AAAAAHf9/pU=")</f>
        <v>#VALUE!</v>
      </c>
      <c r="EU1">
        <f>IF('score card (2)'!7:7,"AAAAAHf9/pY=",0)</f>
        <v>0</v>
      </c>
      <c r="EV1" t="e">
        <f>AND('score card (2)'!A7,"AAAAAHf9/pc=")</f>
        <v>#VALUE!</v>
      </c>
      <c r="EW1" t="e">
        <f>AND('score card (2)'!B7,"AAAAAHf9/pg=")</f>
        <v>#VALUE!</v>
      </c>
      <c r="EX1" t="e">
        <f>AND('score card (2)'!C7,"AAAAAHf9/pk=")</f>
        <v>#VALUE!</v>
      </c>
      <c r="EY1" t="e">
        <f>AND('score card (2)'!D7,"AAAAAHf9/po=")</f>
        <v>#VALUE!</v>
      </c>
      <c r="EZ1" t="e">
        <f>AND('score card (2)'!E7,"AAAAAHf9/ps=")</f>
        <v>#VALUE!</v>
      </c>
      <c r="FA1" t="e">
        <f>AND('score card (2)'!F7,"AAAAAHf9/pw=")</f>
        <v>#VALUE!</v>
      </c>
      <c r="FB1" t="e">
        <f>AND('score card (2)'!G7,"AAAAAHf9/p0=")</f>
        <v>#VALUE!</v>
      </c>
      <c r="FC1" t="e">
        <f>AND('score card (2)'!H7,"AAAAAHf9/p4=")</f>
        <v>#VALUE!</v>
      </c>
      <c r="FD1" t="e">
        <f>AND('score card (2)'!I7,"AAAAAHf9/p8=")</f>
        <v>#VALUE!</v>
      </c>
      <c r="FE1" t="e">
        <f>AND('score card (2)'!J7,"AAAAAHf9/qA=")</f>
        <v>#VALUE!</v>
      </c>
      <c r="FF1" t="e">
        <f>AND('score card (2)'!K7,"AAAAAHf9/qE=")</f>
        <v>#VALUE!</v>
      </c>
      <c r="FG1" t="e">
        <f>AND('score card (2)'!L7,"AAAAAHf9/qI=")</f>
        <v>#VALUE!</v>
      </c>
      <c r="FH1" t="e">
        <f>AND('score card (2)'!M7,"AAAAAHf9/qM=")</f>
        <v>#VALUE!</v>
      </c>
      <c r="FI1" t="e">
        <f>AND('score card (2)'!N7,"AAAAAHf9/qQ=")</f>
        <v>#VALUE!</v>
      </c>
      <c r="FJ1" t="e">
        <f>AND('score card (2)'!O7,"AAAAAHf9/qU=")</f>
        <v>#VALUE!</v>
      </c>
      <c r="FK1" t="e">
        <f>AND('score card (2)'!P7,"AAAAAHf9/qY=")</f>
        <v>#VALUE!</v>
      </c>
      <c r="FL1" t="e">
        <f>AND('score card (2)'!Q7,"AAAAAHf9/qc=")</f>
        <v>#VALUE!</v>
      </c>
      <c r="FM1" t="e">
        <f>AND('score card (2)'!R7,"AAAAAHf9/qg=")</f>
        <v>#VALUE!</v>
      </c>
      <c r="FN1" t="e">
        <f>AND('score card (2)'!S7,"AAAAAHf9/qk=")</f>
        <v>#VALUE!</v>
      </c>
      <c r="FO1" t="e">
        <f>AND('score card (2)'!T7,"AAAAAHf9/qo=")</f>
        <v>#VALUE!</v>
      </c>
      <c r="FP1" t="e">
        <f>AND('score card (2)'!U7,"AAAAAHf9/qs=")</f>
        <v>#VALUE!</v>
      </c>
      <c r="FQ1" t="e">
        <f>AND('score card (2)'!V7,"AAAAAHf9/qw=")</f>
        <v>#VALUE!</v>
      </c>
      <c r="FR1" t="e">
        <f>AND('score card (2)'!W7,"AAAAAHf9/q0=")</f>
        <v>#VALUE!</v>
      </c>
      <c r="FS1" t="e">
        <f>AND('score card (2)'!X7,"AAAAAHf9/q4=")</f>
        <v>#VALUE!</v>
      </c>
      <c r="FT1">
        <f>IF('score card (2)'!8:8,"AAAAAHf9/q8=",0)</f>
        <v>0</v>
      </c>
      <c r="FU1" t="e">
        <f>AND('score card (2)'!A8,"AAAAAHf9/rA=")</f>
        <v>#VALUE!</v>
      </c>
      <c r="FV1" t="e">
        <f>AND('score card (2)'!B8,"AAAAAHf9/rE=")</f>
        <v>#VALUE!</v>
      </c>
      <c r="FW1" t="e">
        <f>AND('score card (2)'!C8,"AAAAAHf9/rI=")</f>
        <v>#VALUE!</v>
      </c>
      <c r="FX1" t="e">
        <f>AND('score card (2)'!D8,"AAAAAHf9/rM=")</f>
        <v>#VALUE!</v>
      </c>
      <c r="FY1" t="e">
        <f>AND('score card (2)'!E8,"AAAAAHf9/rQ=")</f>
        <v>#VALUE!</v>
      </c>
      <c r="FZ1" t="e">
        <f>AND('score card (2)'!F8,"AAAAAHf9/rU=")</f>
        <v>#VALUE!</v>
      </c>
      <c r="GA1" t="e">
        <f>AND('score card (2)'!G8,"AAAAAHf9/rY=")</f>
        <v>#VALUE!</v>
      </c>
      <c r="GB1" t="e">
        <f>AND('score card (2)'!H8,"AAAAAHf9/rc=")</f>
        <v>#VALUE!</v>
      </c>
      <c r="GC1" t="e">
        <f>AND('score card (2)'!I8,"AAAAAHf9/rg=")</f>
        <v>#VALUE!</v>
      </c>
      <c r="GD1" t="e">
        <f>AND('score card (2)'!J8,"AAAAAHf9/rk=")</f>
        <v>#VALUE!</v>
      </c>
      <c r="GE1" t="e">
        <f>AND('score card (2)'!K8,"AAAAAHf9/ro=")</f>
        <v>#VALUE!</v>
      </c>
      <c r="GF1" t="e">
        <f>AND('score card (2)'!L8,"AAAAAHf9/rs=")</f>
        <v>#VALUE!</v>
      </c>
      <c r="GG1" t="e">
        <f>AND('score card (2)'!M8,"AAAAAHf9/rw=")</f>
        <v>#VALUE!</v>
      </c>
      <c r="GH1" t="e">
        <f>AND('score card (2)'!N8,"AAAAAHf9/r0=")</f>
        <v>#VALUE!</v>
      </c>
      <c r="GI1" t="e">
        <f>AND('score card (2)'!O8,"AAAAAHf9/r4=")</f>
        <v>#VALUE!</v>
      </c>
      <c r="GJ1" t="e">
        <f>AND('score card (2)'!P8,"AAAAAHf9/r8=")</f>
        <v>#VALUE!</v>
      </c>
      <c r="GK1" t="e">
        <f>AND('score card (2)'!Q8,"AAAAAHf9/sA=")</f>
        <v>#VALUE!</v>
      </c>
      <c r="GL1" t="e">
        <f>AND('score card (2)'!R8,"AAAAAHf9/sE=")</f>
        <v>#VALUE!</v>
      </c>
      <c r="GM1" t="e">
        <f>AND('score card (2)'!S8,"AAAAAHf9/sI=")</f>
        <v>#VALUE!</v>
      </c>
      <c r="GN1" t="e">
        <f>AND('score card (2)'!T8,"AAAAAHf9/sM=")</f>
        <v>#VALUE!</v>
      </c>
      <c r="GO1" t="e">
        <f>AND('score card (2)'!U8,"AAAAAHf9/sQ=")</f>
        <v>#VALUE!</v>
      </c>
      <c r="GP1" t="e">
        <f>AND('score card (2)'!V8,"AAAAAHf9/sU=")</f>
        <v>#VALUE!</v>
      </c>
      <c r="GQ1" t="e">
        <f>AND('score card (2)'!W8,"AAAAAHf9/sY=")</f>
        <v>#VALUE!</v>
      </c>
      <c r="GR1" t="e">
        <f>AND('score card (2)'!X8,"AAAAAHf9/sc=")</f>
        <v>#VALUE!</v>
      </c>
      <c r="GS1">
        <f>IF('score card (2)'!9:9,"AAAAAHf9/sg=",0)</f>
        <v>0</v>
      </c>
      <c r="GT1" t="e">
        <f>AND('score card (2)'!A9,"AAAAAHf9/sk=")</f>
        <v>#VALUE!</v>
      </c>
      <c r="GU1" t="e">
        <f>AND('score card (2)'!B9,"AAAAAHf9/so=")</f>
        <v>#VALUE!</v>
      </c>
      <c r="GV1" t="e">
        <f>AND('score card (2)'!C9,"AAAAAHf9/ss=")</f>
        <v>#VALUE!</v>
      </c>
      <c r="GW1" t="e">
        <f>AND('score card (2)'!D9,"AAAAAHf9/sw=")</f>
        <v>#VALUE!</v>
      </c>
      <c r="GX1" t="e">
        <f>AND('score card (2)'!E9,"AAAAAHf9/s0=")</f>
        <v>#VALUE!</v>
      </c>
      <c r="GY1" t="e">
        <f>AND('score card (2)'!F9,"AAAAAHf9/s4=")</f>
        <v>#VALUE!</v>
      </c>
      <c r="GZ1" t="e">
        <f>AND('score card (2)'!G9,"AAAAAHf9/s8=")</f>
        <v>#VALUE!</v>
      </c>
      <c r="HA1" t="e">
        <f>AND('score card (2)'!H9,"AAAAAHf9/tA=")</f>
        <v>#VALUE!</v>
      </c>
      <c r="HB1" t="e">
        <f>AND('score card (2)'!I9,"AAAAAHf9/tE=")</f>
        <v>#VALUE!</v>
      </c>
      <c r="HC1" t="e">
        <f>AND('score card (2)'!J9,"AAAAAHf9/tI=")</f>
        <v>#VALUE!</v>
      </c>
      <c r="HD1" t="e">
        <f>AND('score card (2)'!K9,"AAAAAHf9/tM=")</f>
        <v>#VALUE!</v>
      </c>
      <c r="HE1" t="e">
        <f>AND('score card (2)'!L9,"AAAAAHf9/tQ=")</f>
        <v>#VALUE!</v>
      </c>
      <c r="HF1" t="e">
        <f>AND('score card (2)'!M9,"AAAAAHf9/tU=")</f>
        <v>#VALUE!</v>
      </c>
      <c r="HG1" t="e">
        <f>AND('score card (2)'!N9,"AAAAAHf9/tY=")</f>
        <v>#VALUE!</v>
      </c>
      <c r="HH1" t="e">
        <f>AND('score card (2)'!O9,"AAAAAHf9/tc=")</f>
        <v>#VALUE!</v>
      </c>
      <c r="HI1" t="e">
        <f>AND('score card (2)'!P9,"AAAAAHf9/tg=")</f>
        <v>#VALUE!</v>
      </c>
      <c r="HJ1" t="e">
        <f>AND('score card (2)'!Q9,"AAAAAHf9/tk=")</f>
        <v>#VALUE!</v>
      </c>
      <c r="HK1" t="e">
        <f>AND('score card (2)'!R9,"AAAAAHf9/to=")</f>
        <v>#VALUE!</v>
      </c>
      <c r="HL1" t="e">
        <f>AND('score card (2)'!S9,"AAAAAHf9/ts=")</f>
        <v>#VALUE!</v>
      </c>
      <c r="HM1" t="e">
        <f>AND('score card (2)'!T9,"AAAAAHf9/tw=")</f>
        <v>#VALUE!</v>
      </c>
      <c r="HN1" t="e">
        <f>AND('score card (2)'!U9,"AAAAAHf9/t0=")</f>
        <v>#VALUE!</v>
      </c>
      <c r="HO1" t="e">
        <f>AND('score card (2)'!V9,"AAAAAHf9/t4=")</f>
        <v>#VALUE!</v>
      </c>
      <c r="HP1" t="e">
        <f>AND('score card (2)'!W9,"AAAAAHf9/t8=")</f>
        <v>#VALUE!</v>
      </c>
      <c r="HQ1" t="e">
        <f>AND('score card (2)'!X9,"AAAAAHf9/uA=")</f>
        <v>#VALUE!</v>
      </c>
      <c r="HR1">
        <f>IF('score card (2)'!10:10,"AAAAAHf9/uE=",0)</f>
        <v>0</v>
      </c>
      <c r="HS1" t="e">
        <f>AND('score card (2)'!A10,"AAAAAHf9/uI=")</f>
        <v>#VALUE!</v>
      </c>
      <c r="HT1" t="e">
        <f>AND('score card (2)'!B10,"AAAAAHf9/uM=")</f>
        <v>#VALUE!</v>
      </c>
      <c r="HU1" t="e">
        <f>AND('score card (2)'!C10,"AAAAAHf9/uQ=")</f>
        <v>#VALUE!</v>
      </c>
      <c r="HV1" t="e">
        <f>AND('score card (2)'!D10,"AAAAAHf9/uU=")</f>
        <v>#VALUE!</v>
      </c>
      <c r="HW1" t="e">
        <f>AND('score card (2)'!E10,"AAAAAHf9/uY=")</f>
        <v>#VALUE!</v>
      </c>
      <c r="HX1" t="e">
        <f>AND('score card (2)'!F10,"AAAAAHf9/uc=")</f>
        <v>#VALUE!</v>
      </c>
      <c r="HY1" t="e">
        <f>AND('score card (2)'!G10,"AAAAAHf9/ug=")</f>
        <v>#VALUE!</v>
      </c>
      <c r="HZ1" t="e">
        <f>AND('score card (2)'!H10,"AAAAAHf9/uk=")</f>
        <v>#VALUE!</v>
      </c>
      <c r="IA1" t="e">
        <f>AND('score card (2)'!I10,"AAAAAHf9/uo=")</f>
        <v>#VALUE!</v>
      </c>
      <c r="IB1" t="e">
        <f>AND('score card (2)'!J10,"AAAAAHf9/us=")</f>
        <v>#VALUE!</v>
      </c>
      <c r="IC1" t="e">
        <f>AND('score card (2)'!K10,"AAAAAHf9/uw=")</f>
        <v>#VALUE!</v>
      </c>
      <c r="ID1" t="e">
        <f>AND('score card (2)'!L10,"AAAAAHf9/u0=")</f>
        <v>#VALUE!</v>
      </c>
      <c r="IE1" t="e">
        <f>AND('score card (2)'!M10,"AAAAAHf9/u4=")</f>
        <v>#VALUE!</v>
      </c>
      <c r="IF1" t="e">
        <f>AND('score card (2)'!N10,"AAAAAHf9/u8=")</f>
        <v>#VALUE!</v>
      </c>
      <c r="IG1" t="e">
        <f>AND('score card (2)'!O10,"AAAAAHf9/vA=")</f>
        <v>#VALUE!</v>
      </c>
      <c r="IH1" t="e">
        <f>AND('score card (2)'!P10,"AAAAAHf9/vE=")</f>
        <v>#VALUE!</v>
      </c>
      <c r="II1" t="e">
        <f>AND('score card (2)'!Q10,"AAAAAHf9/vI=")</f>
        <v>#VALUE!</v>
      </c>
      <c r="IJ1" t="e">
        <f>AND('score card (2)'!R10,"AAAAAHf9/vM=")</f>
        <v>#VALUE!</v>
      </c>
      <c r="IK1" t="e">
        <f>AND('score card (2)'!S10,"AAAAAHf9/vQ=")</f>
        <v>#VALUE!</v>
      </c>
      <c r="IL1" t="e">
        <f>AND('score card (2)'!T10,"AAAAAHf9/vU=")</f>
        <v>#VALUE!</v>
      </c>
      <c r="IM1" t="e">
        <f>AND('score card (2)'!U10,"AAAAAHf9/vY=")</f>
        <v>#VALUE!</v>
      </c>
      <c r="IN1" t="e">
        <f>AND('score card (2)'!V10,"AAAAAHf9/vc=")</f>
        <v>#VALUE!</v>
      </c>
      <c r="IO1" t="e">
        <f>AND('score card (2)'!W10,"AAAAAHf9/vg=")</f>
        <v>#VALUE!</v>
      </c>
      <c r="IP1" t="e">
        <f>AND('score card (2)'!X10,"AAAAAHf9/vk=")</f>
        <v>#VALUE!</v>
      </c>
      <c r="IQ1">
        <f>IF('score card (2)'!11:11,"AAAAAHf9/vo=",0)</f>
        <v>0</v>
      </c>
      <c r="IR1" t="e">
        <f>AND('score card (2)'!A11,"AAAAAHf9/vs=")</f>
        <v>#VALUE!</v>
      </c>
      <c r="IS1" t="e">
        <f>AND('score card (2)'!B11,"AAAAAHf9/vw=")</f>
        <v>#VALUE!</v>
      </c>
      <c r="IT1" t="e">
        <f>AND('score card (2)'!C11,"AAAAAHf9/v0=")</f>
        <v>#VALUE!</v>
      </c>
      <c r="IU1" t="e">
        <f>AND('score card (2)'!D11,"AAAAAHf9/v4=")</f>
        <v>#VALUE!</v>
      </c>
      <c r="IV1" t="e">
        <f>AND('score card (2)'!E11,"AAAAAHf9/v8=")</f>
        <v>#VALUE!</v>
      </c>
    </row>
    <row r="2" spans="1:256" ht="12.75">
      <c r="A2" t="e">
        <f>AND('score card (2)'!F11,"AAAAAH73/wA=")</f>
        <v>#VALUE!</v>
      </c>
      <c r="B2" t="e">
        <f>AND('score card (2)'!G11,"AAAAAH73/wE=")</f>
        <v>#VALUE!</v>
      </c>
      <c r="C2" t="e">
        <f>AND('score card (2)'!H11,"AAAAAH73/wI=")</f>
        <v>#VALUE!</v>
      </c>
      <c r="D2" t="e">
        <f>AND('score card (2)'!I11,"AAAAAH73/wM=")</f>
        <v>#VALUE!</v>
      </c>
      <c r="E2" t="e">
        <f>AND('score card (2)'!J11,"AAAAAH73/wQ=")</f>
        <v>#VALUE!</v>
      </c>
      <c r="F2" t="e">
        <f>AND('score card (2)'!K11,"AAAAAH73/wU=")</f>
        <v>#VALUE!</v>
      </c>
      <c r="G2" t="e">
        <f>AND('score card (2)'!L11,"AAAAAH73/wY=")</f>
        <v>#VALUE!</v>
      </c>
      <c r="H2" t="e">
        <f>AND('score card (2)'!M11,"AAAAAH73/wc=")</f>
        <v>#VALUE!</v>
      </c>
      <c r="I2" t="e">
        <f>AND('score card (2)'!N11,"AAAAAH73/wg=")</f>
        <v>#VALUE!</v>
      </c>
      <c r="J2" t="e">
        <f>AND('score card (2)'!O11,"AAAAAH73/wk=")</f>
        <v>#VALUE!</v>
      </c>
      <c r="K2" t="e">
        <f>AND('score card (2)'!P11,"AAAAAH73/wo=")</f>
        <v>#VALUE!</v>
      </c>
      <c r="L2" t="e">
        <f>AND('score card (2)'!Q11,"AAAAAH73/ws=")</f>
        <v>#VALUE!</v>
      </c>
      <c r="M2" t="e">
        <f>AND('score card (2)'!R11,"AAAAAH73/ww=")</f>
        <v>#VALUE!</v>
      </c>
      <c r="N2" t="e">
        <f>AND('score card (2)'!S11,"AAAAAH73/w0=")</f>
        <v>#VALUE!</v>
      </c>
      <c r="O2" t="e">
        <f>AND('score card (2)'!T11,"AAAAAH73/w4=")</f>
        <v>#VALUE!</v>
      </c>
      <c r="P2" t="e">
        <f>AND('score card (2)'!U11,"AAAAAH73/w8=")</f>
        <v>#VALUE!</v>
      </c>
      <c r="Q2" t="e">
        <f>AND('score card (2)'!V11,"AAAAAH73/xA=")</f>
        <v>#VALUE!</v>
      </c>
      <c r="R2" t="e">
        <f>AND('score card (2)'!W11,"AAAAAH73/xE=")</f>
        <v>#VALUE!</v>
      </c>
      <c r="S2" t="e">
        <f>AND('score card (2)'!X11,"AAAAAH73/xI=")</f>
        <v>#VALUE!</v>
      </c>
      <c r="T2">
        <f>IF('score card (2)'!12:12,"AAAAAH73/xM=",0)</f>
        <v>0</v>
      </c>
      <c r="U2" t="e">
        <f>AND('score card (2)'!A12,"AAAAAH73/xQ=")</f>
        <v>#VALUE!</v>
      </c>
      <c r="V2" t="e">
        <f>AND('score card (2)'!B12,"AAAAAH73/xU=")</f>
        <v>#VALUE!</v>
      </c>
      <c r="W2" t="e">
        <f>AND('score card (2)'!C12,"AAAAAH73/xY=")</f>
        <v>#VALUE!</v>
      </c>
      <c r="X2" t="e">
        <f>AND('score card (2)'!D12,"AAAAAH73/xc=")</f>
        <v>#VALUE!</v>
      </c>
      <c r="Y2" t="e">
        <f>AND('score card (2)'!E12,"AAAAAH73/xg=")</f>
        <v>#VALUE!</v>
      </c>
      <c r="Z2" t="e">
        <f>AND('score card (2)'!F12,"AAAAAH73/xk=")</f>
        <v>#VALUE!</v>
      </c>
      <c r="AA2" t="e">
        <f>AND('score card (2)'!G12,"AAAAAH73/xo=")</f>
        <v>#VALUE!</v>
      </c>
      <c r="AB2" t="e">
        <f>AND('score card (2)'!H12,"AAAAAH73/xs=")</f>
        <v>#VALUE!</v>
      </c>
      <c r="AC2" t="e">
        <f>AND('score card (2)'!I12,"AAAAAH73/xw=")</f>
        <v>#VALUE!</v>
      </c>
      <c r="AD2" t="e">
        <f>AND('score card (2)'!J12,"AAAAAH73/x0=")</f>
        <v>#VALUE!</v>
      </c>
      <c r="AE2" t="e">
        <f>AND('score card (2)'!K12,"AAAAAH73/x4=")</f>
        <v>#VALUE!</v>
      </c>
      <c r="AF2" t="e">
        <f>AND('score card (2)'!L12,"AAAAAH73/x8=")</f>
        <v>#VALUE!</v>
      </c>
      <c r="AG2" t="e">
        <f>AND('score card (2)'!M12,"AAAAAH73/yA=")</f>
        <v>#VALUE!</v>
      </c>
      <c r="AH2" t="e">
        <f>AND('score card (2)'!N12,"AAAAAH73/yE=")</f>
        <v>#VALUE!</v>
      </c>
      <c r="AI2" t="e">
        <f>AND('score card (2)'!O12,"AAAAAH73/yI=")</f>
        <v>#VALUE!</v>
      </c>
      <c r="AJ2" t="e">
        <f>AND('score card (2)'!P12,"AAAAAH73/yM=")</f>
        <v>#VALUE!</v>
      </c>
      <c r="AK2" t="e">
        <f>AND('score card (2)'!Q12,"AAAAAH73/yQ=")</f>
        <v>#VALUE!</v>
      </c>
      <c r="AL2" t="e">
        <f>AND('score card (2)'!R12,"AAAAAH73/yU=")</f>
        <v>#VALUE!</v>
      </c>
      <c r="AM2" t="e">
        <f>AND('score card (2)'!S12,"AAAAAH73/yY=")</f>
        <v>#VALUE!</v>
      </c>
      <c r="AN2" t="e">
        <f>AND('score card (2)'!T12,"AAAAAH73/yc=")</f>
        <v>#VALUE!</v>
      </c>
      <c r="AO2" t="e">
        <f>AND('score card (2)'!U12,"AAAAAH73/yg=")</f>
        <v>#VALUE!</v>
      </c>
      <c r="AP2" t="e">
        <f>AND('score card (2)'!V12,"AAAAAH73/yk=")</f>
        <v>#VALUE!</v>
      </c>
      <c r="AQ2" t="e">
        <f>AND('score card (2)'!W12,"AAAAAH73/yo=")</f>
        <v>#VALUE!</v>
      </c>
      <c r="AR2" t="e">
        <f>AND('score card (2)'!X12,"AAAAAH73/ys=")</f>
        <v>#VALUE!</v>
      </c>
      <c r="AS2">
        <f>IF('score card (2)'!13:13,"AAAAAH73/yw=",0)</f>
        <v>0</v>
      </c>
      <c r="AT2" t="e">
        <f>AND('score card (2)'!A13,"AAAAAH73/y0=")</f>
        <v>#VALUE!</v>
      </c>
      <c r="AU2" t="e">
        <f>AND('score card (2)'!B13,"AAAAAH73/y4=")</f>
        <v>#VALUE!</v>
      </c>
      <c r="AV2" t="e">
        <f>AND('score card (2)'!C13,"AAAAAH73/y8=")</f>
        <v>#VALUE!</v>
      </c>
      <c r="AW2" t="e">
        <f>AND('score card (2)'!D13,"AAAAAH73/zA=")</f>
        <v>#VALUE!</v>
      </c>
      <c r="AX2" t="e">
        <f>AND('score card (2)'!E13,"AAAAAH73/zE=")</f>
        <v>#VALUE!</v>
      </c>
      <c r="AY2" t="e">
        <f>AND('score card (2)'!F13,"AAAAAH73/zI=")</f>
        <v>#VALUE!</v>
      </c>
      <c r="AZ2" t="e">
        <f>AND('score card (2)'!G13,"AAAAAH73/zM=")</f>
        <v>#VALUE!</v>
      </c>
      <c r="BA2" t="e">
        <f>AND('score card (2)'!H13,"AAAAAH73/zQ=")</f>
        <v>#VALUE!</v>
      </c>
      <c r="BB2" t="e">
        <f>AND('score card (2)'!I13,"AAAAAH73/zU=")</f>
        <v>#VALUE!</v>
      </c>
      <c r="BC2" t="e">
        <f>AND('score card (2)'!J13,"AAAAAH73/zY=")</f>
        <v>#VALUE!</v>
      </c>
      <c r="BD2" t="e">
        <f>AND('score card (2)'!K13,"AAAAAH73/zc=")</f>
        <v>#VALUE!</v>
      </c>
      <c r="BE2" t="e">
        <f>AND('score card (2)'!L13,"AAAAAH73/zg=")</f>
        <v>#VALUE!</v>
      </c>
      <c r="BF2" t="e">
        <f>AND('score card (2)'!M13,"AAAAAH73/zk=")</f>
        <v>#VALUE!</v>
      </c>
      <c r="BG2" t="e">
        <f>AND('score card (2)'!N13,"AAAAAH73/zo=")</f>
        <v>#VALUE!</v>
      </c>
      <c r="BH2" t="e">
        <f>AND('score card (2)'!O13,"AAAAAH73/zs=")</f>
        <v>#VALUE!</v>
      </c>
      <c r="BI2" t="e">
        <f>AND('score card (2)'!P13,"AAAAAH73/zw=")</f>
        <v>#VALUE!</v>
      </c>
      <c r="BJ2" t="e">
        <f>AND('score card (2)'!Q13,"AAAAAH73/z0=")</f>
        <v>#VALUE!</v>
      </c>
      <c r="BK2" t="e">
        <f>AND('score card (2)'!R13,"AAAAAH73/z4=")</f>
        <v>#VALUE!</v>
      </c>
      <c r="BL2" t="e">
        <f>AND('score card (2)'!S13,"AAAAAH73/z8=")</f>
        <v>#VALUE!</v>
      </c>
      <c r="BM2" t="e">
        <f>AND('score card (2)'!T13,"AAAAAH73/0A=")</f>
        <v>#VALUE!</v>
      </c>
      <c r="BN2" t="e">
        <f>AND('score card (2)'!U13,"AAAAAH73/0E=")</f>
        <v>#VALUE!</v>
      </c>
      <c r="BO2" t="e">
        <f>AND('score card (2)'!V13,"AAAAAH73/0I=")</f>
        <v>#VALUE!</v>
      </c>
      <c r="BP2" t="e">
        <f>AND('score card (2)'!W13,"AAAAAH73/0M=")</f>
        <v>#VALUE!</v>
      </c>
      <c r="BQ2" t="e">
        <f>AND('score card (2)'!X13,"AAAAAH73/0Q=")</f>
        <v>#VALUE!</v>
      </c>
      <c r="BR2">
        <f>IF('score card (2)'!14:14,"AAAAAH73/0U=",0)</f>
        <v>0</v>
      </c>
      <c r="BS2" t="e">
        <f>AND('score card (2)'!A14,"AAAAAH73/0Y=")</f>
        <v>#VALUE!</v>
      </c>
      <c r="BT2" t="e">
        <f>AND('score card (2)'!B14,"AAAAAH73/0c=")</f>
        <v>#VALUE!</v>
      </c>
      <c r="BU2" t="e">
        <f>AND('score card (2)'!C14,"AAAAAH73/0g=")</f>
        <v>#VALUE!</v>
      </c>
      <c r="BV2" t="e">
        <f>AND('score card (2)'!D14,"AAAAAH73/0k=")</f>
        <v>#VALUE!</v>
      </c>
      <c r="BW2" t="e">
        <f>AND('score card (2)'!E14,"AAAAAH73/0o=")</f>
        <v>#VALUE!</v>
      </c>
      <c r="BX2" t="e">
        <f>AND('score card (2)'!F14,"AAAAAH73/0s=")</f>
        <v>#VALUE!</v>
      </c>
      <c r="BY2" t="e">
        <f>AND('score card (2)'!G14,"AAAAAH73/0w=")</f>
        <v>#VALUE!</v>
      </c>
      <c r="BZ2" t="e">
        <f>AND('score card (2)'!H14,"AAAAAH73/00=")</f>
        <v>#VALUE!</v>
      </c>
      <c r="CA2" t="e">
        <f>AND('score card (2)'!I14,"AAAAAH73/04=")</f>
        <v>#VALUE!</v>
      </c>
      <c r="CB2" t="e">
        <f>AND('score card (2)'!J14,"AAAAAH73/08=")</f>
        <v>#VALUE!</v>
      </c>
      <c r="CC2" t="e">
        <f>AND('score card (2)'!K14,"AAAAAH73/1A=")</f>
        <v>#VALUE!</v>
      </c>
      <c r="CD2" t="e">
        <f>AND('score card (2)'!L14,"AAAAAH73/1E=")</f>
        <v>#VALUE!</v>
      </c>
      <c r="CE2" t="e">
        <f>AND('score card (2)'!M14,"AAAAAH73/1I=")</f>
        <v>#VALUE!</v>
      </c>
      <c r="CF2" t="e">
        <f>AND('score card (2)'!N14,"AAAAAH73/1M=")</f>
        <v>#VALUE!</v>
      </c>
      <c r="CG2" t="e">
        <f>AND('score card (2)'!O14,"AAAAAH73/1Q=")</f>
        <v>#VALUE!</v>
      </c>
      <c r="CH2" t="e">
        <f>AND('score card (2)'!P14,"AAAAAH73/1U=")</f>
        <v>#VALUE!</v>
      </c>
      <c r="CI2" t="e">
        <f>AND('score card (2)'!Q14,"AAAAAH73/1Y=")</f>
        <v>#VALUE!</v>
      </c>
      <c r="CJ2" t="e">
        <f>AND('score card (2)'!R14,"AAAAAH73/1c=")</f>
        <v>#VALUE!</v>
      </c>
      <c r="CK2" t="e">
        <f>AND('score card (2)'!S14,"AAAAAH73/1g=")</f>
        <v>#VALUE!</v>
      </c>
      <c r="CL2" t="e">
        <f>AND('score card (2)'!T14,"AAAAAH73/1k=")</f>
        <v>#VALUE!</v>
      </c>
      <c r="CM2" t="e">
        <f>AND('score card (2)'!U14,"AAAAAH73/1o=")</f>
        <v>#VALUE!</v>
      </c>
      <c r="CN2" t="e">
        <f>AND('score card (2)'!V14,"AAAAAH73/1s=")</f>
        <v>#VALUE!</v>
      </c>
      <c r="CO2" t="e">
        <f>AND('score card (2)'!W14,"AAAAAH73/1w=")</f>
        <v>#VALUE!</v>
      </c>
      <c r="CP2" t="e">
        <f>AND('score card (2)'!X14,"AAAAAH73/10=")</f>
        <v>#VALUE!</v>
      </c>
      <c r="CQ2">
        <f>IF('score card (2)'!15:15,"AAAAAH73/14=",0)</f>
        <v>0</v>
      </c>
      <c r="CR2" t="e">
        <f>AND('score card (2)'!A15,"AAAAAH73/18=")</f>
        <v>#VALUE!</v>
      </c>
      <c r="CS2" t="e">
        <f>AND('score card (2)'!B15,"AAAAAH73/2A=")</f>
        <v>#VALUE!</v>
      </c>
      <c r="CT2" t="e">
        <f>AND('score card (2)'!C15,"AAAAAH73/2E=")</f>
        <v>#VALUE!</v>
      </c>
      <c r="CU2" t="e">
        <f>AND('score card (2)'!D15,"AAAAAH73/2I=")</f>
        <v>#VALUE!</v>
      </c>
      <c r="CV2" t="e">
        <f>AND('score card (2)'!E15,"AAAAAH73/2M=")</f>
        <v>#VALUE!</v>
      </c>
      <c r="CW2" t="e">
        <f>AND('score card (2)'!F15,"AAAAAH73/2Q=")</f>
        <v>#VALUE!</v>
      </c>
      <c r="CX2" t="e">
        <f>AND('score card (2)'!G15,"AAAAAH73/2U=")</f>
        <v>#VALUE!</v>
      </c>
      <c r="CY2" t="e">
        <f>AND('score card (2)'!H15,"AAAAAH73/2Y=")</f>
        <v>#VALUE!</v>
      </c>
      <c r="CZ2" t="e">
        <f>AND('score card (2)'!I15,"AAAAAH73/2c=")</f>
        <v>#VALUE!</v>
      </c>
      <c r="DA2" t="e">
        <f>AND('score card (2)'!J15,"AAAAAH73/2g=")</f>
        <v>#VALUE!</v>
      </c>
      <c r="DB2" t="e">
        <f>AND('score card (2)'!K15,"AAAAAH73/2k=")</f>
        <v>#VALUE!</v>
      </c>
      <c r="DC2" t="e">
        <f>AND('score card (2)'!L15,"AAAAAH73/2o=")</f>
        <v>#VALUE!</v>
      </c>
      <c r="DD2" t="e">
        <f>AND('score card (2)'!M15,"AAAAAH73/2s=")</f>
        <v>#VALUE!</v>
      </c>
      <c r="DE2" t="e">
        <f>AND('score card (2)'!N15,"AAAAAH73/2w=")</f>
        <v>#VALUE!</v>
      </c>
      <c r="DF2" t="e">
        <f>AND('score card (2)'!O15,"AAAAAH73/20=")</f>
        <v>#VALUE!</v>
      </c>
      <c r="DG2" t="e">
        <f>AND('score card (2)'!P15,"AAAAAH73/24=")</f>
        <v>#VALUE!</v>
      </c>
      <c r="DH2" t="e">
        <f>AND('score card (2)'!Q15,"AAAAAH73/28=")</f>
        <v>#VALUE!</v>
      </c>
      <c r="DI2" t="e">
        <f>AND('score card (2)'!R15,"AAAAAH73/3A=")</f>
        <v>#VALUE!</v>
      </c>
      <c r="DJ2" t="e">
        <f>AND('score card (2)'!S15,"AAAAAH73/3E=")</f>
        <v>#VALUE!</v>
      </c>
      <c r="DK2" t="e">
        <f>AND('score card (2)'!T15,"AAAAAH73/3I=")</f>
        <v>#VALUE!</v>
      </c>
      <c r="DL2" t="e">
        <f>AND('score card (2)'!U15,"AAAAAH73/3M=")</f>
        <v>#VALUE!</v>
      </c>
      <c r="DM2" t="e">
        <f>AND('score card (2)'!V15,"AAAAAH73/3Q=")</f>
        <v>#VALUE!</v>
      </c>
      <c r="DN2" t="e">
        <f>AND('score card (2)'!W15,"AAAAAH73/3U=")</f>
        <v>#VALUE!</v>
      </c>
      <c r="DO2" t="e">
        <f>AND('score card (2)'!X15,"AAAAAH73/3Y=")</f>
        <v>#VALUE!</v>
      </c>
      <c r="DP2">
        <f>IF('score card (2)'!16:16,"AAAAAH73/3c=",0)</f>
        <v>0</v>
      </c>
      <c r="DQ2" t="e">
        <f>AND('score card (2)'!A16,"AAAAAH73/3g=")</f>
        <v>#VALUE!</v>
      </c>
      <c r="DR2" t="e">
        <f>AND('score card (2)'!B16,"AAAAAH73/3k=")</f>
        <v>#VALUE!</v>
      </c>
      <c r="DS2" t="e">
        <f>AND('score card (2)'!C16,"AAAAAH73/3o=")</f>
        <v>#VALUE!</v>
      </c>
      <c r="DT2" t="e">
        <f>AND('score card (2)'!D16,"AAAAAH73/3s=")</f>
        <v>#VALUE!</v>
      </c>
      <c r="DU2" t="e">
        <f>AND('score card (2)'!E16,"AAAAAH73/3w=")</f>
        <v>#VALUE!</v>
      </c>
      <c r="DV2" t="e">
        <f>AND('score card (2)'!F16,"AAAAAH73/30=")</f>
        <v>#VALUE!</v>
      </c>
      <c r="DW2" t="e">
        <f>AND('score card (2)'!G16,"AAAAAH73/34=")</f>
        <v>#VALUE!</v>
      </c>
      <c r="DX2" t="e">
        <f>AND('score card (2)'!H16,"AAAAAH73/38=")</f>
        <v>#VALUE!</v>
      </c>
      <c r="DY2" t="e">
        <f>AND('score card (2)'!I16,"AAAAAH73/4A=")</f>
        <v>#VALUE!</v>
      </c>
      <c r="DZ2" t="e">
        <f>AND('score card (2)'!J16,"AAAAAH73/4E=")</f>
        <v>#VALUE!</v>
      </c>
      <c r="EA2" t="e">
        <f>AND('score card (2)'!K16,"AAAAAH73/4I=")</f>
        <v>#VALUE!</v>
      </c>
      <c r="EB2" t="e">
        <f>AND('score card (2)'!L16,"AAAAAH73/4M=")</f>
        <v>#VALUE!</v>
      </c>
      <c r="EC2" t="e">
        <f>AND('score card (2)'!M16,"AAAAAH73/4Q=")</f>
        <v>#VALUE!</v>
      </c>
      <c r="ED2" t="e">
        <f>AND('score card (2)'!N16,"AAAAAH73/4U=")</f>
        <v>#VALUE!</v>
      </c>
      <c r="EE2" t="e">
        <f>AND('score card (2)'!O16,"AAAAAH73/4Y=")</f>
        <v>#VALUE!</v>
      </c>
      <c r="EF2" t="e">
        <f>AND('score card (2)'!P16,"AAAAAH73/4c=")</f>
        <v>#VALUE!</v>
      </c>
      <c r="EG2" t="e">
        <f>AND('score card (2)'!Q16,"AAAAAH73/4g=")</f>
        <v>#VALUE!</v>
      </c>
      <c r="EH2" t="e">
        <f>AND('score card (2)'!R16,"AAAAAH73/4k=")</f>
        <v>#VALUE!</v>
      </c>
      <c r="EI2" t="e">
        <f>AND('score card (2)'!S16,"AAAAAH73/4o=")</f>
        <v>#VALUE!</v>
      </c>
      <c r="EJ2" t="e">
        <f>AND('score card (2)'!T16,"AAAAAH73/4s=")</f>
        <v>#VALUE!</v>
      </c>
      <c r="EK2" t="e">
        <f>AND('score card (2)'!U16,"AAAAAH73/4w=")</f>
        <v>#VALUE!</v>
      </c>
      <c r="EL2" t="e">
        <f>AND('score card (2)'!V16,"AAAAAH73/40=")</f>
        <v>#VALUE!</v>
      </c>
      <c r="EM2" t="e">
        <f>AND('score card (2)'!W16,"AAAAAH73/44=")</f>
        <v>#VALUE!</v>
      </c>
      <c r="EN2" t="e">
        <f>AND('score card (2)'!X16,"AAAAAH73/48=")</f>
        <v>#VALUE!</v>
      </c>
      <c r="EO2">
        <f>IF('score card (2)'!17:17,"AAAAAH73/5A=",0)</f>
        <v>0</v>
      </c>
      <c r="EP2" t="e">
        <f>AND('score card (2)'!A17,"AAAAAH73/5E=")</f>
        <v>#VALUE!</v>
      </c>
      <c r="EQ2" t="e">
        <f>AND('score card (2)'!B17,"AAAAAH73/5I=")</f>
        <v>#VALUE!</v>
      </c>
      <c r="ER2" t="e">
        <f>AND('score card (2)'!C17,"AAAAAH73/5M=")</f>
        <v>#VALUE!</v>
      </c>
      <c r="ES2" t="e">
        <f>AND('score card (2)'!D17,"AAAAAH73/5Q=")</f>
        <v>#VALUE!</v>
      </c>
      <c r="ET2" t="e">
        <f>AND('score card (2)'!E17,"AAAAAH73/5U=")</f>
        <v>#VALUE!</v>
      </c>
      <c r="EU2" t="e">
        <f>AND('score card (2)'!F17,"AAAAAH73/5Y=")</f>
        <v>#VALUE!</v>
      </c>
      <c r="EV2" t="e">
        <f>AND('score card (2)'!G17,"AAAAAH73/5c=")</f>
        <v>#VALUE!</v>
      </c>
      <c r="EW2" t="e">
        <f>AND('score card (2)'!H17,"AAAAAH73/5g=")</f>
        <v>#VALUE!</v>
      </c>
      <c r="EX2" t="e">
        <f>AND('score card (2)'!I17,"AAAAAH73/5k=")</f>
        <v>#VALUE!</v>
      </c>
      <c r="EY2" t="e">
        <f>AND('score card (2)'!J17,"AAAAAH73/5o=")</f>
        <v>#VALUE!</v>
      </c>
      <c r="EZ2" t="e">
        <f>AND('score card (2)'!K17,"AAAAAH73/5s=")</f>
        <v>#VALUE!</v>
      </c>
      <c r="FA2" t="e">
        <f>AND('score card (2)'!L17,"AAAAAH73/5w=")</f>
        <v>#VALUE!</v>
      </c>
      <c r="FB2" t="e">
        <f>AND('score card (2)'!M17,"AAAAAH73/50=")</f>
        <v>#VALUE!</v>
      </c>
      <c r="FC2" t="e">
        <f>AND('score card (2)'!N17,"AAAAAH73/54=")</f>
        <v>#VALUE!</v>
      </c>
      <c r="FD2" t="e">
        <f>AND('score card (2)'!O17,"AAAAAH73/58=")</f>
        <v>#VALUE!</v>
      </c>
      <c r="FE2" t="e">
        <f>AND('score card (2)'!P17,"AAAAAH73/6A=")</f>
        <v>#VALUE!</v>
      </c>
      <c r="FF2" t="e">
        <f>AND('score card (2)'!Q17,"AAAAAH73/6E=")</f>
        <v>#VALUE!</v>
      </c>
      <c r="FG2" t="e">
        <f>AND('score card (2)'!R17,"AAAAAH73/6I=")</f>
        <v>#VALUE!</v>
      </c>
      <c r="FH2" t="e">
        <f>AND('score card (2)'!S17,"AAAAAH73/6M=")</f>
        <v>#VALUE!</v>
      </c>
      <c r="FI2" t="e">
        <f>AND('score card (2)'!T17,"AAAAAH73/6Q=")</f>
        <v>#VALUE!</v>
      </c>
      <c r="FJ2" t="e">
        <f>AND('score card (2)'!U17,"AAAAAH73/6U=")</f>
        <v>#VALUE!</v>
      </c>
      <c r="FK2" t="e">
        <f>AND('score card (2)'!V17,"AAAAAH73/6Y=")</f>
        <v>#VALUE!</v>
      </c>
      <c r="FL2" t="e">
        <f>AND('score card (2)'!W17,"AAAAAH73/6c=")</f>
        <v>#VALUE!</v>
      </c>
      <c r="FM2" t="e">
        <f>AND('score card (2)'!X17,"AAAAAH73/6g=")</f>
        <v>#VALUE!</v>
      </c>
      <c r="FN2">
        <f>IF('score card (2)'!18:18,"AAAAAH73/6k=",0)</f>
        <v>0</v>
      </c>
      <c r="FO2" t="e">
        <f>AND('score card (2)'!A18,"AAAAAH73/6o=")</f>
        <v>#VALUE!</v>
      </c>
      <c r="FP2" t="e">
        <f>AND('score card (2)'!B18,"AAAAAH73/6s=")</f>
        <v>#VALUE!</v>
      </c>
      <c r="FQ2" t="e">
        <f>AND('score card (2)'!C18,"AAAAAH73/6w=")</f>
        <v>#VALUE!</v>
      </c>
      <c r="FR2" t="e">
        <f>AND('score card (2)'!D18,"AAAAAH73/60=")</f>
        <v>#VALUE!</v>
      </c>
      <c r="FS2" t="e">
        <f>AND('score card (2)'!E18,"AAAAAH73/64=")</f>
        <v>#VALUE!</v>
      </c>
      <c r="FT2" t="e">
        <f>AND('score card (2)'!F18,"AAAAAH73/68=")</f>
        <v>#VALUE!</v>
      </c>
      <c r="FU2" t="e">
        <f>AND('score card (2)'!G18,"AAAAAH73/7A=")</f>
        <v>#VALUE!</v>
      </c>
      <c r="FV2" t="e">
        <f>AND('score card (2)'!H18,"AAAAAH73/7E=")</f>
        <v>#VALUE!</v>
      </c>
      <c r="FW2" t="e">
        <f>AND('score card (2)'!I18,"AAAAAH73/7I=")</f>
        <v>#VALUE!</v>
      </c>
      <c r="FX2" t="e">
        <f>AND('score card (2)'!J18,"AAAAAH73/7M=")</f>
        <v>#VALUE!</v>
      </c>
      <c r="FY2" t="e">
        <f>AND('score card (2)'!K18,"AAAAAH73/7Q=")</f>
        <v>#VALUE!</v>
      </c>
      <c r="FZ2" t="e">
        <f>AND('score card (2)'!L18,"AAAAAH73/7U=")</f>
        <v>#VALUE!</v>
      </c>
      <c r="GA2" t="e">
        <f>AND('score card (2)'!M18,"AAAAAH73/7Y=")</f>
        <v>#VALUE!</v>
      </c>
      <c r="GB2" t="e">
        <f>AND('score card (2)'!N18,"AAAAAH73/7c=")</f>
        <v>#VALUE!</v>
      </c>
      <c r="GC2" t="e">
        <f>AND('score card (2)'!O18,"AAAAAH73/7g=")</f>
        <v>#VALUE!</v>
      </c>
      <c r="GD2" t="e">
        <f>AND('score card (2)'!P18,"AAAAAH73/7k=")</f>
        <v>#VALUE!</v>
      </c>
      <c r="GE2" t="e">
        <f>AND('score card (2)'!Q18,"AAAAAH73/7o=")</f>
        <v>#VALUE!</v>
      </c>
      <c r="GF2" t="e">
        <f>AND('score card (2)'!R18,"AAAAAH73/7s=")</f>
        <v>#VALUE!</v>
      </c>
      <c r="GG2" t="e">
        <f>AND('score card (2)'!S18,"AAAAAH73/7w=")</f>
        <v>#VALUE!</v>
      </c>
      <c r="GH2" t="e">
        <f>AND('score card (2)'!T18,"AAAAAH73/70=")</f>
        <v>#VALUE!</v>
      </c>
      <c r="GI2" t="e">
        <f>AND('score card (2)'!U18,"AAAAAH73/74=")</f>
        <v>#VALUE!</v>
      </c>
      <c r="GJ2" t="e">
        <f>AND('score card (2)'!V18,"AAAAAH73/78=")</f>
        <v>#VALUE!</v>
      </c>
      <c r="GK2" t="e">
        <f>AND('score card (2)'!W18,"AAAAAH73/8A=")</f>
        <v>#VALUE!</v>
      </c>
      <c r="GL2" t="e">
        <f>AND('score card (2)'!X18,"AAAAAH73/8E=")</f>
        <v>#VALUE!</v>
      </c>
      <c r="GM2">
        <f>IF('score card (2)'!19:19,"AAAAAH73/8I=",0)</f>
        <v>0</v>
      </c>
      <c r="GN2" t="e">
        <f>AND('score card (2)'!A19,"AAAAAH73/8M=")</f>
        <v>#VALUE!</v>
      </c>
      <c r="GO2" t="e">
        <f>AND('score card (2)'!B19,"AAAAAH73/8Q=")</f>
        <v>#VALUE!</v>
      </c>
      <c r="GP2" t="e">
        <f>AND('score card (2)'!C19,"AAAAAH73/8U=")</f>
        <v>#VALUE!</v>
      </c>
      <c r="GQ2" t="e">
        <f>AND('score card (2)'!D19,"AAAAAH73/8Y=")</f>
        <v>#VALUE!</v>
      </c>
      <c r="GR2" t="e">
        <f>AND('score card (2)'!E19,"AAAAAH73/8c=")</f>
        <v>#VALUE!</v>
      </c>
      <c r="GS2" t="e">
        <f>AND('score card (2)'!F19,"AAAAAH73/8g=")</f>
        <v>#VALUE!</v>
      </c>
      <c r="GT2" t="e">
        <f>AND('score card (2)'!G19,"AAAAAH73/8k=")</f>
        <v>#VALUE!</v>
      </c>
      <c r="GU2" t="e">
        <f>AND('score card (2)'!H19,"AAAAAH73/8o=")</f>
        <v>#VALUE!</v>
      </c>
      <c r="GV2" t="e">
        <f>AND('score card (2)'!I19,"AAAAAH73/8s=")</f>
        <v>#VALUE!</v>
      </c>
      <c r="GW2" t="e">
        <f>AND('score card (2)'!J19,"AAAAAH73/8w=")</f>
        <v>#VALUE!</v>
      </c>
      <c r="GX2" t="e">
        <f>AND('score card (2)'!K19,"AAAAAH73/80=")</f>
        <v>#VALUE!</v>
      </c>
      <c r="GY2" t="e">
        <f>AND('score card (2)'!L19,"AAAAAH73/84=")</f>
        <v>#VALUE!</v>
      </c>
      <c r="GZ2" t="e">
        <f>AND('score card (2)'!M19,"AAAAAH73/88=")</f>
        <v>#VALUE!</v>
      </c>
      <c r="HA2" t="e">
        <f>AND('score card (2)'!N19,"AAAAAH73/9A=")</f>
        <v>#VALUE!</v>
      </c>
      <c r="HB2" t="e">
        <f>AND('score card (2)'!O19,"AAAAAH73/9E=")</f>
        <v>#VALUE!</v>
      </c>
      <c r="HC2" t="e">
        <f>AND('score card (2)'!P19,"AAAAAH73/9I=")</f>
        <v>#VALUE!</v>
      </c>
      <c r="HD2" t="e">
        <f>AND('score card (2)'!Q19,"AAAAAH73/9M=")</f>
        <v>#VALUE!</v>
      </c>
      <c r="HE2" t="e">
        <f>AND('score card (2)'!R19,"AAAAAH73/9Q=")</f>
        <v>#VALUE!</v>
      </c>
      <c r="HF2" t="e">
        <f>AND('score card (2)'!S19,"AAAAAH73/9U=")</f>
        <v>#VALUE!</v>
      </c>
      <c r="HG2" t="e">
        <f>AND('score card (2)'!T19,"AAAAAH73/9Y=")</f>
        <v>#VALUE!</v>
      </c>
      <c r="HH2" t="e">
        <f>AND('score card (2)'!U19,"AAAAAH73/9c=")</f>
        <v>#VALUE!</v>
      </c>
      <c r="HI2" t="e">
        <f>AND('score card (2)'!V19,"AAAAAH73/9g=")</f>
        <v>#VALUE!</v>
      </c>
      <c r="HJ2" t="e">
        <f>AND('score card (2)'!W19,"AAAAAH73/9k=")</f>
        <v>#VALUE!</v>
      </c>
      <c r="HK2" t="e">
        <f>AND('score card (2)'!X19,"AAAAAH73/9o=")</f>
        <v>#VALUE!</v>
      </c>
      <c r="HL2">
        <f>IF('score card (2)'!20:20,"AAAAAH73/9s=",0)</f>
        <v>0</v>
      </c>
      <c r="HM2" t="e">
        <f>AND('score card (2)'!A20,"AAAAAH73/9w=")</f>
        <v>#VALUE!</v>
      </c>
      <c r="HN2" t="e">
        <f>AND('score card (2)'!B20,"AAAAAH73/90=")</f>
        <v>#VALUE!</v>
      </c>
      <c r="HO2" t="e">
        <f>AND('score card (2)'!C20,"AAAAAH73/94=")</f>
        <v>#VALUE!</v>
      </c>
      <c r="HP2" t="e">
        <f>AND('score card (2)'!D20,"AAAAAH73/98=")</f>
        <v>#VALUE!</v>
      </c>
      <c r="HQ2" t="e">
        <f>AND('score card (2)'!E20,"AAAAAH73/+A=")</f>
        <v>#VALUE!</v>
      </c>
      <c r="HR2" t="e">
        <f>AND('score card (2)'!F20,"AAAAAH73/+E=")</f>
        <v>#VALUE!</v>
      </c>
      <c r="HS2" t="e">
        <f>AND('score card (2)'!G20,"AAAAAH73/+I=")</f>
        <v>#VALUE!</v>
      </c>
      <c r="HT2" t="e">
        <f>AND('score card (2)'!H20,"AAAAAH73/+M=")</f>
        <v>#VALUE!</v>
      </c>
      <c r="HU2" t="e">
        <f>AND('score card (2)'!I20,"AAAAAH73/+Q=")</f>
        <v>#VALUE!</v>
      </c>
      <c r="HV2" t="e">
        <f>AND('score card (2)'!J20,"AAAAAH73/+U=")</f>
        <v>#VALUE!</v>
      </c>
      <c r="HW2" t="e">
        <f>AND('score card (2)'!K20,"AAAAAH73/+Y=")</f>
        <v>#VALUE!</v>
      </c>
      <c r="HX2" t="e">
        <f>AND('score card (2)'!L20,"AAAAAH73/+c=")</f>
        <v>#VALUE!</v>
      </c>
      <c r="HY2" t="e">
        <f>AND('score card (2)'!M20,"AAAAAH73/+g=")</f>
        <v>#VALUE!</v>
      </c>
      <c r="HZ2" t="e">
        <f>AND('score card (2)'!N20,"AAAAAH73/+k=")</f>
        <v>#VALUE!</v>
      </c>
      <c r="IA2" t="e">
        <f>AND('score card (2)'!O20,"AAAAAH73/+o=")</f>
        <v>#VALUE!</v>
      </c>
      <c r="IB2" t="e">
        <f>AND('score card (2)'!P20,"AAAAAH73/+s=")</f>
        <v>#VALUE!</v>
      </c>
      <c r="IC2" t="e">
        <f>AND('score card (2)'!Q20,"AAAAAH73/+w=")</f>
        <v>#VALUE!</v>
      </c>
      <c r="ID2" t="e">
        <f>AND('score card (2)'!R20,"AAAAAH73/+0=")</f>
        <v>#VALUE!</v>
      </c>
      <c r="IE2" t="e">
        <f>AND('score card (2)'!S20,"AAAAAH73/+4=")</f>
        <v>#VALUE!</v>
      </c>
      <c r="IF2" t="e">
        <f>AND('score card (2)'!T20,"AAAAAH73/+8=")</f>
        <v>#VALUE!</v>
      </c>
      <c r="IG2" t="e">
        <f>AND('score card (2)'!U20,"AAAAAH73//A=")</f>
        <v>#VALUE!</v>
      </c>
      <c r="IH2" t="e">
        <f>AND('score card (2)'!V20,"AAAAAH73//E=")</f>
        <v>#VALUE!</v>
      </c>
      <c r="II2" t="e">
        <f>AND('score card (2)'!W20,"AAAAAH73//I=")</f>
        <v>#VALUE!</v>
      </c>
      <c r="IJ2" t="e">
        <f>AND('score card (2)'!X20,"AAAAAH73//M=")</f>
        <v>#VALUE!</v>
      </c>
      <c r="IK2">
        <f>IF('score card (2)'!21:21,"AAAAAH73//Q=",0)</f>
        <v>0</v>
      </c>
      <c r="IL2" t="e">
        <f>AND('score card (2)'!A21,"AAAAAH73//U=")</f>
        <v>#VALUE!</v>
      </c>
      <c r="IM2" t="e">
        <f>AND('score card (2)'!B21,"AAAAAH73//Y=")</f>
        <v>#VALUE!</v>
      </c>
      <c r="IN2" t="e">
        <f>AND('score card (2)'!C21,"AAAAAH73//c=")</f>
        <v>#VALUE!</v>
      </c>
      <c r="IO2" t="e">
        <f>AND('score card (2)'!D21,"AAAAAH73//g=")</f>
        <v>#VALUE!</v>
      </c>
      <c r="IP2" t="e">
        <f>AND('score card (2)'!E21,"AAAAAH73//k=")</f>
        <v>#VALUE!</v>
      </c>
      <c r="IQ2" t="e">
        <f>AND('score card (2)'!F21,"AAAAAH73//o=")</f>
        <v>#VALUE!</v>
      </c>
      <c r="IR2" t="e">
        <f>AND('score card (2)'!G21,"AAAAAH73//s=")</f>
        <v>#VALUE!</v>
      </c>
      <c r="IS2" t="e">
        <f>AND('score card (2)'!H21,"AAAAAH73//w=")</f>
        <v>#VALUE!</v>
      </c>
      <c r="IT2" t="e">
        <f>AND('score card (2)'!I21,"AAAAAH73//0=")</f>
        <v>#VALUE!</v>
      </c>
      <c r="IU2" t="e">
        <f>AND('score card (2)'!J21,"AAAAAH73//4=")</f>
        <v>#VALUE!</v>
      </c>
      <c r="IV2" t="e">
        <f>AND('score card (2)'!K21,"AAAAAH73//8=")</f>
        <v>#VALUE!</v>
      </c>
    </row>
    <row r="3" spans="1:256" ht="12.75">
      <c r="A3" t="e">
        <f>AND('score card (2)'!L21,"AAAAAFi7zwA=")</f>
        <v>#VALUE!</v>
      </c>
      <c r="B3" t="e">
        <f>AND('score card (2)'!M21,"AAAAAFi7zwE=")</f>
        <v>#VALUE!</v>
      </c>
      <c r="C3" t="e">
        <f>AND('score card (2)'!N21,"AAAAAFi7zwI=")</f>
        <v>#VALUE!</v>
      </c>
      <c r="D3" t="e">
        <f>AND('score card (2)'!O21,"AAAAAFi7zwM=")</f>
        <v>#VALUE!</v>
      </c>
      <c r="E3" t="e">
        <f>AND('score card (2)'!P21,"AAAAAFi7zwQ=")</f>
        <v>#VALUE!</v>
      </c>
      <c r="F3" t="e">
        <f>AND('score card (2)'!Q21,"AAAAAFi7zwU=")</f>
        <v>#VALUE!</v>
      </c>
      <c r="G3" t="e">
        <f>AND('score card (2)'!R21,"AAAAAFi7zwY=")</f>
        <v>#VALUE!</v>
      </c>
      <c r="H3" t="e">
        <f>AND('score card (2)'!S21,"AAAAAFi7zwc=")</f>
        <v>#VALUE!</v>
      </c>
      <c r="I3" t="e">
        <f>AND('score card (2)'!T21,"AAAAAFi7zwg=")</f>
        <v>#VALUE!</v>
      </c>
      <c r="J3" t="e">
        <f>AND('score card (2)'!U21,"AAAAAFi7zwk=")</f>
        <v>#VALUE!</v>
      </c>
      <c r="K3" t="e">
        <f>AND('score card (2)'!V21,"AAAAAFi7zwo=")</f>
        <v>#VALUE!</v>
      </c>
      <c r="L3" t="e">
        <f>AND('score card (2)'!W21,"AAAAAFi7zws=")</f>
        <v>#VALUE!</v>
      </c>
      <c r="M3" t="e">
        <f>AND('score card (2)'!X21,"AAAAAFi7zww=")</f>
        <v>#VALUE!</v>
      </c>
      <c r="N3">
        <f>IF('score card (2)'!22:22,"AAAAAFi7zw0=",0)</f>
        <v>0</v>
      </c>
      <c r="O3" t="e">
        <f>AND('score card (2)'!A22,"AAAAAFi7zw4=")</f>
        <v>#VALUE!</v>
      </c>
      <c r="P3" t="e">
        <f>AND('score card (2)'!B22,"AAAAAFi7zw8=")</f>
        <v>#VALUE!</v>
      </c>
      <c r="Q3" t="e">
        <f>AND('score card (2)'!C22,"AAAAAFi7zxA=")</f>
        <v>#VALUE!</v>
      </c>
      <c r="R3" t="e">
        <f>AND('score card (2)'!D22,"AAAAAFi7zxE=")</f>
        <v>#VALUE!</v>
      </c>
      <c r="S3" t="e">
        <f>AND('score card (2)'!E22,"AAAAAFi7zxI=")</f>
        <v>#VALUE!</v>
      </c>
      <c r="T3" t="e">
        <f>AND('score card (2)'!F22,"AAAAAFi7zxM=")</f>
        <v>#VALUE!</v>
      </c>
      <c r="U3" t="e">
        <f>AND('score card (2)'!G22,"AAAAAFi7zxQ=")</f>
        <v>#VALUE!</v>
      </c>
      <c r="V3" t="e">
        <f>AND('score card (2)'!H22,"AAAAAFi7zxU=")</f>
        <v>#VALUE!</v>
      </c>
      <c r="W3" t="e">
        <f>AND('score card (2)'!I22,"AAAAAFi7zxY=")</f>
        <v>#VALUE!</v>
      </c>
      <c r="X3" t="e">
        <f>AND('score card (2)'!J22,"AAAAAFi7zxc=")</f>
        <v>#VALUE!</v>
      </c>
      <c r="Y3" t="e">
        <f>AND('score card (2)'!K22,"AAAAAFi7zxg=")</f>
        <v>#VALUE!</v>
      </c>
      <c r="Z3" t="e">
        <f>AND('score card (2)'!L22,"AAAAAFi7zxk=")</f>
        <v>#VALUE!</v>
      </c>
      <c r="AA3" t="e">
        <f>AND('score card (2)'!M22,"AAAAAFi7zxo=")</f>
        <v>#VALUE!</v>
      </c>
      <c r="AB3" t="e">
        <f>AND('score card (2)'!N22,"AAAAAFi7zxs=")</f>
        <v>#VALUE!</v>
      </c>
      <c r="AC3" t="e">
        <f>AND('score card (2)'!O22,"AAAAAFi7zxw=")</f>
        <v>#VALUE!</v>
      </c>
      <c r="AD3" t="e">
        <f>AND('score card (2)'!P22,"AAAAAFi7zx0=")</f>
        <v>#VALUE!</v>
      </c>
      <c r="AE3" t="e">
        <f>AND('score card (2)'!Q22,"AAAAAFi7zx4=")</f>
        <v>#VALUE!</v>
      </c>
      <c r="AF3" t="e">
        <f>AND('score card (2)'!R22,"AAAAAFi7zx8=")</f>
        <v>#VALUE!</v>
      </c>
      <c r="AG3" t="e">
        <f>AND('score card (2)'!S22,"AAAAAFi7zyA=")</f>
        <v>#VALUE!</v>
      </c>
      <c r="AH3" t="e">
        <f>AND('score card (2)'!T22,"AAAAAFi7zyE=")</f>
        <v>#VALUE!</v>
      </c>
      <c r="AI3" t="e">
        <f>AND('score card (2)'!U22,"AAAAAFi7zyI=")</f>
        <v>#VALUE!</v>
      </c>
      <c r="AJ3" t="e">
        <f>AND('score card (2)'!V22,"AAAAAFi7zyM=")</f>
        <v>#VALUE!</v>
      </c>
      <c r="AK3" t="e">
        <f>AND('score card (2)'!W22,"AAAAAFi7zyQ=")</f>
        <v>#VALUE!</v>
      </c>
      <c r="AL3" t="e">
        <f>AND('score card (2)'!X22,"AAAAAFi7zyU=")</f>
        <v>#VALUE!</v>
      </c>
      <c r="AM3">
        <f>IF('score card (2)'!23:23,"AAAAAFi7zyY=",0)</f>
        <v>0</v>
      </c>
      <c r="AN3" t="e">
        <f>AND('score card (2)'!A23,"AAAAAFi7zyc=")</f>
        <v>#VALUE!</v>
      </c>
      <c r="AO3" t="e">
        <f>AND('score card (2)'!B23,"AAAAAFi7zyg=")</f>
        <v>#VALUE!</v>
      </c>
      <c r="AP3" t="e">
        <f>AND('score card (2)'!C23,"AAAAAFi7zyk=")</f>
        <v>#VALUE!</v>
      </c>
      <c r="AQ3" t="e">
        <f>AND('score card (2)'!D23,"AAAAAFi7zyo=")</f>
        <v>#VALUE!</v>
      </c>
      <c r="AR3" t="e">
        <f>AND('score card (2)'!E23,"AAAAAFi7zys=")</f>
        <v>#VALUE!</v>
      </c>
      <c r="AS3" t="e">
        <f>AND('score card (2)'!F23,"AAAAAFi7zyw=")</f>
        <v>#VALUE!</v>
      </c>
      <c r="AT3" t="e">
        <f>AND('score card (2)'!G23,"AAAAAFi7zy0=")</f>
        <v>#VALUE!</v>
      </c>
      <c r="AU3" t="e">
        <f>AND('score card (2)'!H23,"AAAAAFi7zy4=")</f>
        <v>#VALUE!</v>
      </c>
      <c r="AV3" t="e">
        <f>AND('score card (2)'!I23,"AAAAAFi7zy8=")</f>
        <v>#VALUE!</v>
      </c>
      <c r="AW3" t="e">
        <f>AND('score card (2)'!J23,"AAAAAFi7zzA=")</f>
        <v>#VALUE!</v>
      </c>
      <c r="AX3" t="e">
        <f>AND('score card (2)'!K23,"AAAAAFi7zzE=")</f>
        <v>#VALUE!</v>
      </c>
      <c r="AY3" t="e">
        <f>AND('score card (2)'!L23,"AAAAAFi7zzI=")</f>
        <v>#VALUE!</v>
      </c>
      <c r="AZ3" t="e">
        <f>AND('score card (2)'!M23,"AAAAAFi7zzM=")</f>
        <v>#VALUE!</v>
      </c>
      <c r="BA3" t="e">
        <f>AND('score card (2)'!N23,"AAAAAFi7zzQ=")</f>
        <v>#VALUE!</v>
      </c>
      <c r="BB3" t="e">
        <f>AND('score card (2)'!O23,"AAAAAFi7zzU=")</f>
        <v>#VALUE!</v>
      </c>
      <c r="BC3" t="e">
        <f>AND('score card (2)'!P23,"AAAAAFi7zzY=")</f>
        <v>#VALUE!</v>
      </c>
      <c r="BD3" t="e">
        <f>AND('score card (2)'!Q23,"AAAAAFi7zzc=")</f>
        <v>#VALUE!</v>
      </c>
      <c r="BE3" t="e">
        <f>AND('score card (2)'!R23,"AAAAAFi7zzg=")</f>
        <v>#VALUE!</v>
      </c>
      <c r="BF3" t="e">
        <f>AND('score card (2)'!S23,"AAAAAFi7zzk=")</f>
        <v>#VALUE!</v>
      </c>
      <c r="BG3" t="e">
        <f>AND('score card (2)'!T23,"AAAAAFi7zzo=")</f>
        <v>#VALUE!</v>
      </c>
      <c r="BH3" t="e">
        <f>AND('score card (2)'!U23,"AAAAAFi7zzs=")</f>
        <v>#VALUE!</v>
      </c>
      <c r="BI3" t="e">
        <f>AND('score card (2)'!V23,"AAAAAFi7zzw=")</f>
        <v>#VALUE!</v>
      </c>
      <c r="BJ3" t="e">
        <f>AND('score card (2)'!W23,"AAAAAFi7zz0=")</f>
        <v>#VALUE!</v>
      </c>
      <c r="BK3" t="e">
        <f>AND('score card (2)'!X23,"AAAAAFi7zz4=")</f>
        <v>#VALUE!</v>
      </c>
      <c r="BL3">
        <f>IF('score card (2)'!24:24,"AAAAAFi7zz8=",0)</f>
        <v>0</v>
      </c>
      <c r="BM3" t="e">
        <f>AND('score card (2)'!A24,"AAAAAFi7z0A=")</f>
        <v>#VALUE!</v>
      </c>
      <c r="BN3" t="e">
        <f>AND('score card (2)'!B24,"AAAAAFi7z0E=")</f>
        <v>#VALUE!</v>
      </c>
      <c r="BO3" t="e">
        <f>AND('score card (2)'!C24,"AAAAAFi7z0I=")</f>
        <v>#VALUE!</v>
      </c>
      <c r="BP3" t="e">
        <f>AND('score card (2)'!D24,"AAAAAFi7z0M=")</f>
        <v>#VALUE!</v>
      </c>
      <c r="BQ3" t="e">
        <f>AND('score card (2)'!E24,"AAAAAFi7z0Q=")</f>
        <v>#VALUE!</v>
      </c>
      <c r="BR3" t="e">
        <f>AND('score card (2)'!F24,"AAAAAFi7z0U=")</f>
        <v>#VALUE!</v>
      </c>
      <c r="BS3" t="e">
        <f>AND('score card (2)'!G24,"AAAAAFi7z0Y=")</f>
        <v>#VALUE!</v>
      </c>
      <c r="BT3" t="e">
        <f>AND('score card (2)'!H24,"AAAAAFi7z0c=")</f>
        <v>#VALUE!</v>
      </c>
      <c r="BU3" t="e">
        <f>AND('score card (2)'!I24,"AAAAAFi7z0g=")</f>
        <v>#VALUE!</v>
      </c>
      <c r="BV3" t="e">
        <f>AND('score card (2)'!J24,"AAAAAFi7z0k=")</f>
        <v>#VALUE!</v>
      </c>
      <c r="BW3" t="e">
        <f>AND('score card (2)'!K24,"AAAAAFi7z0o=")</f>
        <v>#VALUE!</v>
      </c>
      <c r="BX3" t="e">
        <f>AND('score card (2)'!L24,"AAAAAFi7z0s=")</f>
        <v>#VALUE!</v>
      </c>
      <c r="BY3" t="e">
        <f>AND('score card (2)'!M24,"AAAAAFi7z0w=")</f>
        <v>#VALUE!</v>
      </c>
      <c r="BZ3" t="e">
        <f>AND('score card (2)'!N24,"AAAAAFi7z00=")</f>
        <v>#VALUE!</v>
      </c>
      <c r="CA3" t="e">
        <f>AND('score card (2)'!O24,"AAAAAFi7z04=")</f>
        <v>#VALUE!</v>
      </c>
      <c r="CB3" t="e">
        <f>AND('score card (2)'!P24,"AAAAAFi7z08=")</f>
        <v>#VALUE!</v>
      </c>
      <c r="CC3" t="e">
        <f>AND('score card (2)'!Q24,"AAAAAFi7z1A=")</f>
        <v>#VALUE!</v>
      </c>
      <c r="CD3" t="e">
        <f>AND('score card (2)'!R24,"AAAAAFi7z1E=")</f>
        <v>#VALUE!</v>
      </c>
      <c r="CE3" t="e">
        <f>AND('score card (2)'!S24,"AAAAAFi7z1I=")</f>
        <v>#VALUE!</v>
      </c>
      <c r="CF3" t="e">
        <f>AND('score card (2)'!T24,"AAAAAFi7z1M=")</f>
        <v>#VALUE!</v>
      </c>
      <c r="CG3" t="e">
        <f>AND('score card (2)'!U24,"AAAAAFi7z1Q=")</f>
        <v>#VALUE!</v>
      </c>
      <c r="CH3" t="e">
        <f>AND('score card (2)'!V24,"AAAAAFi7z1U=")</f>
        <v>#VALUE!</v>
      </c>
      <c r="CI3" t="e">
        <f>AND('score card (2)'!W24,"AAAAAFi7z1Y=")</f>
        <v>#VALUE!</v>
      </c>
      <c r="CJ3" t="e">
        <f>AND('score card (2)'!X24,"AAAAAFi7z1c=")</f>
        <v>#VALUE!</v>
      </c>
      <c r="CK3">
        <f>IF('score card (2)'!25:25,"AAAAAFi7z1g=",0)</f>
        <v>0</v>
      </c>
      <c r="CL3" t="e">
        <f>AND('score card (2)'!A25,"AAAAAFi7z1k=")</f>
        <v>#VALUE!</v>
      </c>
      <c r="CM3" t="e">
        <f>AND('score card (2)'!B25,"AAAAAFi7z1o=")</f>
        <v>#VALUE!</v>
      </c>
      <c r="CN3" t="e">
        <f>AND('score card (2)'!C25,"AAAAAFi7z1s=")</f>
        <v>#VALUE!</v>
      </c>
      <c r="CO3" t="e">
        <f>AND('score card (2)'!D25,"AAAAAFi7z1w=")</f>
        <v>#VALUE!</v>
      </c>
      <c r="CP3" t="e">
        <f>AND('score card (2)'!E25,"AAAAAFi7z10=")</f>
        <v>#VALUE!</v>
      </c>
      <c r="CQ3" t="e">
        <f>AND('score card (2)'!F25,"AAAAAFi7z14=")</f>
        <v>#VALUE!</v>
      </c>
      <c r="CR3" t="e">
        <f>AND('score card (2)'!G25,"AAAAAFi7z18=")</f>
        <v>#VALUE!</v>
      </c>
      <c r="CS3" t="e">
        <f>AND('score card (2)'!H25,"AAAAAFi7z2A=")</f>
        <v>#VALUE!</v>
      </c>
      <c r="CT3" t="e">
        <f>AND('score card (2)'!I25,"AAAAAFi7z2E=")</f>
        <v>#VALUE!</v>
      </c>
      <c r="CU3" t="e">
        <f>AND('score card (2)'!J25,"AAAAAFi7z2I=")</f>
        <v>#VALUE!</v>
      </c>
      <c r="CV3" t="e">
        <f>AND('score card (2)'!K25,"AAAAAFi7z2M=")</f>
        <v>#VALUE!</v>
      </c>
      <c r="CW3" t="e">
        <f>AND('score card (2)'!L25,"AAAAAFi7z2Q=")</f>
        <v>#VALUE!</v>
      </c>
      <c r="CX3" t="e">
        <f>AND('score card (2)'!M25,"AAAAAFi7z2U=")</f>
        <v>#VALUE!</v>
      </c>
      <c r="CY3" t="e">
        <f>AND('score card (2)'!N25,"AAAAAFi7z2Y=")</f>
        <v>#VALUE!</v>
      </c>
      <c r="CZ3" t="e">
        <f>AND('score card (2)'!O25,"AAAAAFi7z2c=")</f>
        <v>#VALUE!</v>
      </c>
      <c r="DA3" t="e">
        <f>AND('score card (2)'!P25,"AAAAAFi7z2g=")</f>
        <v>#VALUE!</v>
      </c>
      <c r="DB3" t="e">
        <f>AND('score card (2)'!Q25,"AAAAAFi7z2k=")</f>
        <v>#VALUE!</v>
      </c>
      <c r="DC3" t="e">
        <f>AND('score card (2)'!R25,"AAAAAFi7z2o=")</f>
        <v>#VALUE!</v>
      </c>
      <c r="DD3" t="e">
        <f>AND('score card (2)'!S25,"AAAAAFi7z2s=")</f>
        <v>#VALUE!</v>
      </c>
      <c r="DE3" t="e">
        <f>AND('score card (2)'!T25,"AAAAAFi7z2w=")</f>
        <v>#VALUE!</v>
      </c>
      <c r="DF3" t="e">
        <f>AND('score card (2)'!U25,"AAAAAFi7z20=")</f>
        <v>#VALUE!</v>
      </c>
      <c r="DG3" t="e">
        <f>AND('score card (2)'!V25,"AAAAAFi7z24=")</f>
        <v>#VALUE!</v>
      </c>
      <c r="DH3" t="e">
        <f>AND('score card (2)'!W25,"AAAAAFi7z28=")</f>
        <v>#VALUE!</v>
      </c>
      <c r="DI3" t="e">
        <f>AND('score card (2)'!X25,"AAAAAFi7z3A=")</f>
        <v>#VALUE!</v>
      </c>
      <c r="DJ3">
        <f>IF('score card (2)'!26:26,"AAAAAFi7z3E=",0)</f>
        <v>0</v>
      </c>
      <c r="DK3" t="e">
        <f>AND('score card (2)'!A26,"AAAAAFi7z3I=")</f>
        <v>#VALUE!</v>
      </c>
      <c r="DL3" t="e">
        <f>AND('score card (2)'!B26,"AAAAAFi7z3M=")</f>
        <v>#VALUE!</v>
      </c>
      <c r="DM3" t="e">
        <f>AND('score card (2)'!C26,"AAAAAFi7z3Q=")</f>
        <v>#VALUE!</v>
      </c>
      <c r="DN3" t="e">
        <f>AND('score card (2)'!D26,"AAAAAFi7z3U=")</f>
        <v>#VALUE!</v>
      </c>
      <c r="DO3" t="e">
        <f>AND('score card (2)'!E26,"AAAAAFi7z3Y=")</f>
        <v>#VALUE!</v>
      </c>
      <c r="DP3" t="e">
        <f>AND('score card (2)'!F26,"AAAAAFi7z3c=")</f>
        <v>#VALUE!</v>
      </c>
      <c r="DQ3" t="e">
        <f>AND('score card (2)'!G26,"AAAAAFi7z3g=")</f>
        <v>#VALUE!</v>
      </c>
      <c r="DR3" t="e">
        <f>AND('score card (2)'!H26,"AAAAAFi7z3k=")</f>
        <v>#VALUE!</v>
      </c>
      <c r="DS3" t="e">
        <f>AND('score card (2)'!I26,"AAAAAFi7z3o=")</f>
        <v>#VALUE!</v>
      </c>
      <c r="DT3" t="e">
        <f>AND('score card (2)'!J26,"AAAAAFi7z3s=")</f>
        <v>#VALUE!</v>
      </c>
      <c r="DU3" t="e">
        <f>AND('score card (2)'!K26,"AAAAAFi7z3w=")</f>
        <v>#VALUE!</v>
      </c>
      <c r="DV3" t="e">
        <f>AND('score card (2)'!L26,"AAAAAFi7z30=")</f>
        <v>#VALUE!</v>
      </c>
      <c r="DW3" t="e">
        <f>AND('score card (2)'!M26,"AAAAAFi7z34=")</f>
        <v>#VALUE!</v>
      </c>
      <c r="DX3" t="e">
        <f>AND('score card (2)'!N26,"AAAAAFi7z38=")</f>
        <v>#VALUE!</v>
      </c>
      <c r="DY3" t="e">
        <f>AND('score card (2)'!O26,"AAAAAFi7z4A=")</f>
        <v>#VALUE!</v>
      </c>
      <c r="DZ3" t="e">
        <f>AND('score card (2)'!P26,"AAAAAFi7z4E=")</f>
        <v>#VALUE!</v>
      </c>
      <c r="EA3" t="e">
        <f>AND('score card (2)'!Q26,"AAAAAFi7z4I=")</f>
        <v>#VALUE!</v>
      </c>
      <c r="EB3" t="e">
        <f>AND('score card (2)'!R26,"AAAAAFi7z4M=")</f>
        <v>#VALUE!</v>
      </c>
      <c r="EC3" t="e">
        <f>AND('score card (2)'!S26,"AAAAAFi7z4Q=")</f>
        <v>#VALUE!</v>
      </c>
      <c r="ED3" t="e">
        <f>AND('score card (2)'!T26,"AAAAAFi7z4U=")</f>
        <v>#VALUE!</v>
      </c>
      <c r="EE3" t="e">
        <f>AND('score card (2)'!U26,"AAAAAFi7z4Y=")</f>
        <v>#VALUE!</v>
      </c>
      <c r="EF3" t="e">
        <f>AND('score card (2)'!V26,"AAAAAFi7z4c=")</f>
        <v>#VALUE!</v>
      </c>
      <c r="EG3" t="e">
        <f>AND('score card (2)'!W26,"AAAAAFi7z4g=")</f>
        <v>#VALUE!</v>
      </c>
      <c r="EH3" t="e">
        <f>AND('score card (2)'!X26,"AAAAAFi7z4k=")</f>
        <v>#VALUE!</v>
      </c>
      <c r="EI3">
        <f>IF('score card (2)'!27:27,"AAAAAFi7z4o=",0)</f>
        <v>0</v>
      </c>
      <c r="EJ3" t="e">
        <f>AND('score card (2)'!A27,"AAAAAFi7z4s=")</f>
        <v>#VALUE!</v>
      </c>
      <c r="EK3" t="e">
        <f>AND('score card (2)'!B27,"AAAAAFi7z4w=")</f>
        <v>#VALUE!</v>
      </c>
      <c r="EL3" t="e">
        <f>AND('score card (2)'!C27,"AAAAAFi7z40=")</f>
        <v>#VALUE!</v>
      </c>
      <c r="EM3" t="e">
        <f>AND('score card (2)'!D27,"AAAAAFi7z44=")</f>
        <v>#VALUE!</v>
      </c>
      <c r="EN3" t="e">
        <f>AND('score card (2)'!E27,"AAAAAFi7z48=")</f>
        <v>#VALUE!</v>
      </c>
      <c r="EO3" t="e">
        <f>AND('score card (2)'!F27,"AAAAAFi7z5A=")</f>
        <v>#VALUE!</v>
      </c>
      <c r="EP3" t="e">
        <f>AND('score card (2)'!G27,"AAAAAFi7z5E=")</f>
        <v>#VALUE!</v>
      </c>
      <c r="EQ3" t="e">
        <f>AND('score card (2)'!H27,"AAAAAFi7z5I=")</f>
        <v>#VALUE!</v>
      </c>
      <c r="ER3" t="e">
        <f>AND('score card (2)'!I27,"AAAAAFi7z5M=")</f>
        <v>#VALUE!</v>
      </c>
      <c r="ES3" t="e">
        <f>AND('score card (2)'!J27,"AAAAAFi7z5Q=")</f>
        <v>#VALUE!</v>
      </c>
      <c r="ET3" t="e">
        <f>AND('score card (2)'!K27,"AAAAAFi7z5U=")</f>
        <v>#VALUE!</v>
      </c>
      <c r="EU3" t="e">
        <f>AND('score card (2)'!L27,"AAAAAFi7z5Y=")</f>
        <v>#VALUE!</v>
      </c>
      <c r="EV3" t="e">
        <f>AND('score card (2)'!M27,"AAAAAFi7z5c=")</f>
        <v>#VALUE!</v>
      </c>
      <c r="EW3" t="e">
        <f>AND('score card (2)'!N27,"AAAAAFi7z5g=")</f>
        <v>#VALUE!</v>
      </c>
      <c r="EX3" t="e">
        <f>AND('score card (2)'!O27,"AAAAAFi7z5k=")</f>
        <v>#VALUE!</v>
      </c>
      <c r="EY3" t="e">
        <f>AND('score card (2)'!P27,"AAAAAFi7z5o=")</f>
        <v>#VALUE!</v>
      </c>
      <c r="EZ3" t="e">
        <f>AND('score card (2)'!Q27,"AAAAAFi7z5s=")</f>
        <v>#VALUE!</v>
      </c>
      <c r="FA3" t="e">
        <f>AND('score card (2)'!R27,"AAAAAFi7z5w=")</f>
        <v>#VALUE!</v>
      </c>
      <c r="FB3" t="e">
        <f>AND('score card (2)'!S27,"AAAAAFi7z50=")</f>
        <v>#VALUE!</v>
      </c>
      <c r="FC3" t="e">
        <f>AND('score card (2)'!T27,"AAAAAFi7z54=")</f>
        <v>#VALUE!</v>
      </c>
      <c r="FD3" t="e">
        <f>AND('score card (2)'!U27,"AAAAAFi7z58=")</f>
        <v>#VALUE!</v>
      </c>
      <c r="FE3" t="e">
        <f>AND('score card (2)'!V27,"AAAAAFi7z6A=")</f>
        <v>#VALUE!</v>
      </c>
      <c r="FF3" t="e">
        <f>AND('score card (2)'!W27,"AAAAAFi7z6E=")</f>
        <v>#VALUE!</v>
      </c>
      <c r="FG3" t="e">
        <f>AND('score card (2)'!X27,"AAAAAFi7z6I=")</f>
        <v>#VALUE!</v>
      </c>
      <c r="FH3">
        <f>IF('score card (2)'!28:28,"AAAAAFi7z6M=",0)</f>
        <v>0</v>
      </c>
      <c r="FI3" t="e">
        <f>AND('score card (2)'!A28,"AAAAAFi7z6Q=")</f>
        <v>#VALUE!</v>
      </c>
      <c r="FJ3" t="e">
        <f>AND('score card (2)'!B28,"AAAAAFi7z6U=")</f>
        <v>#VALUE!</v>
      </c>
      <c r="FK3" t="e">
        <f>AND('score card (2)'!C28,"AAAAAFi7z6Y=")</f>
        <v>#VALUE!</v>
      </c>
      <c r="FL3" t="e">
        <f>AND('score card (2)'!D28,"AAAAAFi7z6c=")</f>
        <v>#VALUE!</v>
      </c>
      <c r="FM3" t="e">
        <f>AND('score card (2)'!E28,"AAAAAFi7z6g=")</f>
        <v>#VALUE!</v>
      </c>
      <c r="FN3" t="e">
        <f>AND('score card (2)'!F28,"AAAAAFi7z6k=")</f>
        <v>#VALUE!</v>
      </c>
      <c r="FO3" t="e">
        <f>AND('score card (2)'!G28,"AAAAAFi7z6o=")</f>
        <v>#VALUE!</v>
      </c>
      <c r="FP3" t="e">
        <f>AND('score card (2)'!H28,"AAAAAFi7z6s=")</f>
        <v>#VALUE!</v>
      </c>
      <c r="FQ3" t="e">
        <f>AND('score card (2)'!I28,"AAAAAFi7z6w=")</f>
        <v>#VALUE!</v>
      </c>
      <c r="FR3" t="e">
        <f>AND('score card (2)'!J28,"AAAAAFi7z60=")</f>
        <v>#VALUE!</v>
      </c>
      <c r="FS3" t="e">
        <f>AND('score card (2)'!K28,"AAAAAFi7z64=")</f>
        <v>#VALUE!</v>
      </c>
      <c r="FT3" t="e">
        <f>AND('score card (2)'!L28,"AAAAAFi7z68=")</f>
        <v>#VALUE!</v>
      </c>
      <c r="FU3" t="e">
        <f>AND('score card (2)'!M28,"AAAAAFi7z7A=")</f>
        <v>#VALUE!</v>
      </c>
      <c r="FV3" t="e">
        <f>AND('score card (2)'!N28,"AAAAAFi7z7E=")</f>
        <v>#VALUE!</v>
      </c>
      <c r="FW3" t="e">
        <f>AND('score card (2)'!O28,"AAAAAFi7z7I=")</f>
        <v>#VALUE!</v>
      </c>
      <c r="FX3" t="e">
        <f>AND('score card (2)'!P28,"AAAAAFi7z7M=")</f>
        <v>#VALUE!</v>
      </c>
      <c r="FY3" t="e">
        <f>AND('score card (2)'!Q28,"AAAAAFi7z7Q=")</f>
        <v>#VALUE!</v>
      </c>
      <c r="FZ3" t="e">
        <f>AND('score card (2)'!R28,"AAAAAFi7z7U=")</f>
        <v>#VALUE!</v>
      </c>
      <c r="GA3" t="e">
        <f>AND('score card (2)'!S28,"AAAAAFi7z7Y=")</f>
        <v>#VALUE!</v>
      </c>
      <c r="GB3" t="e">
        <f>AND('score card (2)'!T28,"AAAAAFi7z7c=")</f>
        <v>#VALUE!</v>
      </c>
      <c r="GC3" t="e">
        <f>AND('score card (2)'!U28,"AAAAAFi7z7g=")</f>
        <v>#VALUE!</v>
      </c>
      <c r="GD3" t="e">
        <f>AND('score card (2)'!V28,"AAAAAFi7z7k=")</f>
        <v>#VALUE!</v>
      </c>
      <c r="GE3" t="e">
        <f>AND('score card (2)'!W28,"AAAAAFi7z7o=")</f>
        <v>#VALUE!</v>
      </c>
      <c r="GF3" t="e">
        <f>AND('score card (2)'!X28,"AAAAAFi7z7s=")</f>
        <v>#VALUE!</v>
      </c>
      <c r="GG3">
        <f>IF('score card (2)'!29:29,"AAAAAFi7z7w=",0)</f>
        <v>0</v>
      </c>
      <c r="GH3" t="e">
        <f>AND('score card (2)'!A29,"AAAAAFi7z70=")</f>
        <v>#VALUE!</v>
      </c>
      <c r="GI3" t="e">
        <f>AND('score card (2)'!B29,"AAAAAFi7z74=")</f>
        <v>#VALUE!</v>
      </c>
      <c r="GJ3" t="e">
        <f>AND('score card (2)'!C29,"AAAAAFi7z78=")</f>
        <v>#VALUE!</v>
      </c>
      <c r="GK3" t="e">
        <f>AND('score card (2)'!D29,"AAAAAFi7z8A=")</f>
        <v>#VALUE!</v>
      </c>
      <c r="GL3" t="e">
        <f>AND('score card (2)'!E29,"AAAAAFi7z8E=")</f>
        <v>#VALUE!</v>
      </c>
      <c r="GM3" t="e">
        <f>AND('score card (2)'!F29,"AAAAAFi7z8I=")</f>
        <v>#VALUE!</v>
      </c>
      <c r="GN3" t="e">
        <f>AND('score card (2)'!G29,"AAAAAFi7z8M=")</f>
        <v>#VALUE!</v>
      </c>
      <c r="GO3" t="e">
        <f>AND('score card (2)'!H29,"AAAAAFi7z8Q=")</f>
        <v>#VALUE!</v>
      </c>
      <c r="GP3" t="e">
        <f>AND('score card (2)'!I29,"AAAAAFi7z8U=")</f>
        <v>#VALUE!</v>
      </c>
      <c r="GQ3" t="e">
        <f>AND('score card (2)'!J29,"AAAAAFi7z8Y=")</f>
        <v>#VALUE!</v>
      </c>
      <c r="GR3" t="e">
        <f>AND('score card (2)'!K29,"AAAAAFi7z8c=")</f>
        <v>#VALUE!</v>
      </c>
      <c r="GS3" t="e">
        <f>AND('score card (2)'!L29,"AAAAAFi7z8g=")</f>
        <v>#VALUE!</v>
      </c>
      <c r="GT3" t="e">
        <f>AND('score card (2)'!M29,"AAAAAFi7z8k=")</f>
        <v>#VALUE!</v>
      </c>
      <c r="GU3" t="e">
        <f>AND('score card (2)'!N29,"AAAAAFi7z8o=")</f>
        <v>#VALUE!</v>
      </c>
      <c r="GV3" t="e">
        <f>AND('score card (2)'!O29,"AAAAAFi7z8s=")</f>
        <v>#VALUE!</v>
      </c>
      <c r="GW3" t="e">
        <f>AND('score card (2)'!P29,"AAAAAFi7z8w=")</f>
        <v>#VALUE!</v>
      </c>
      <c r="GX3" t="e">
        <f>AND('score card (2)'!Q29,"AAAAAFi7z80=")</f>
        <v>#VALUE!</v>
      </c>
      <c r="GY3" t="e">
        <f>AND('score card (2)'!R29,"AAAAAFi7z84=")</f>
        <v>#VALUE!</v>
      </c>
      <c r="GZ3" t="e">
        <f>AND('score card (2)'!S29,"AAAAAFi7z88=")</f>
        <v>#VALUE!</v>
      </c>
      <c r="HA3" t="e">
        <f>AND('score card (2)'!T29,"AAAAAFi7z9A=")</f>
        <v>#VALUE!</v>
      </c>
      <c r="HB3" t="e">
        <f>AND('score card (2)'!U29,"AAAAAFi7z9E=")</f>
        <v>#VALUE!</v>
      </c>
      <c r="HC3" t="e">
        <f>AND('score card (2)'!V29,"AAAAAFi7z9I=")</f>
        <v>#VALUE!</v>
      </c>
      <c r="HD3" t="e">
        <f>AND('score card (2)'!W29,"AAAAAFi7z9M=")</f>
        <v>#VALUE!</v>
      </c>
      <c r="HE3" t="e">
        <f>AND('score card (2)'!X29,"AAAAAFi7z9Q=")</f>
        <v>#VALUE!</v>
      </c>
      <c r="HF3">
        <f>IF('score card (2)'!30:30,"AAAAAFi7z9U=",0)</f>
        <v>0</v>
      </c>
      <c r="HG3" t="e">
        <f>AND('score card (2)'!A30,"AAAAAFi7z9Y=")</f>
        <v>#VALUE!</v>
      </c>
      <c r="HH3" t="e">
        <f>AND('score card (2)'!B30,"AAAAAFi7z9c=")</f>
        <v>#VALUE!</v>
      </c>
      <c r="HI3" t="e">
        <f>AND('score card (2)'!C30,"AAAAAFi7z9g=")</f>
        <v>#VALUE!</v>
      </c>
      <c r="HJ3" t="e">
        <f>AND('score card (2)'!D30,"AAAAAFi7z9k=")</f>
        <v>#VALUE!</v>
      </c>
      <c r="HK3" t="e">
        <f>AND('score card (2)'!E30,"AAAAAFi7z9o=")</f>
        <v>#VALUE!</v>
      </c>
      <c r="HL3" t="e">
        <f>AND('score card (2)'!F30,"AAAAAFi7z9s=")</f>
        <v>#VALUE!</v>
      </c>
      <c r="HM3" t="e">
        <f>AND('score card (2)'!G30,"AAAAAFi7z9w=")</f>
        <v>#VALUE!</v>
      </c>
      <c r="HN3" t="e">
        <f>AND('score card (2)'!H30,"AAAAAFi7z90=")</f>
        <v>#VALUE!</v>
      </c>
      <c r="HO3" t="e">
        <f>AND('score card (2)'!I30,"AAAAAFi7z94=")</f>
        <v>#VALUE!</v>
      </c>
      <c r="HP3" t="e">
        <f>AND('score card (2)'!J30,"AAAAAFi7z98=")</f>
        <v>#VALUE!</v>
      </c>
      <c r="HQ3" t="e">
        <f>AND('score card (2)'!K30,"AAAAAFi7z+A=")</f>
        <v>#VALUE!</v>
      </c>
      <c r="HR3" t="e">
        <f>AND('score card (2)'!L30,"AAAAAFi7z+E=")</f>
        <v>#VALUE!</v>
      </c>
      <c r="HS3" t="e">
        <f>AND('score card (2)'!M30,"AAAAAFi7z+I=")</f>
        <v>#VALUE!</v>
      </c>
      <c r="HT3" t="e">
        <f>AND('score card (2)'!N30,"AAAAAFi7z+M=")</f>
        <v>#VALUE!</v>
      </c>
      <c r="HU3" t="e">
        <f>AND('score card (2)'!O30,"AAAAAFi7z+Q=")</f>
        <v>#VALUE!</v>
      </c>
      <c r="HV3" t="e">
        <f>AND('score card (2)'!P30,"AAAAAFi7z+U=")</f>
        <v>#VALUE!</v>
      </c>
      <c r="HW3" t="e">
        <f>AND('score card (2)'!Q30,"AAAAAFi7z+Y=")</f>
        <v>#VALUE!</v>
      </c>
      <c r="HX3" t="e">
        <f>AND('score card (2)'!R30,"AAAAAFi7z+c=")</f>
        <v>#VALUE!</v>
      </c>
      <c r="HY3" t="e">
        <f>AND('score card (2)'!S30,"AAAAAFi7z+g=")</f>
        <v>#VALUE!</v>
      </c>
      <c r="HZ3" t="e">
        <f>AND('score card (2)'!T30,"AAAAAFi7z+k=")</f>
        <v>#VALUE!</v>
      </c>
      <c r="IA3" t="e">
        <f>AND('score card (2)'!U30,"AAAAAFi7z+o=")</f>
        <v>#VALUE!</v>
      </c>
      <c r="IB3" t="e">
        <f>AND('score card (2)'!V30,"AAAAAFi7z+s=")</f>
        <v>#VALUE!</v>
      </c>
      <c r="IC3" t="e">
        <f>AND('score card (2)'!W30,"AAAAAFi7z+w=")</f>
        <v>#VALUE!</v>
      </c>
      <c r="ID3" t="e">
        <f>AND('score card (2)'!X30,"AAAAAFi7z+0=")</f>
        <v>#VALUE!</v>
      </c>
      <c r="IE3">
        <f>IF('score card (2)'!31:31,"AAAAAFi7z+4=",0)</f>
        <v>0</v>
      </c>
      <c r="IF3" t="e">
        <f>AND('score card (2)'!A31,"AAAAAFi7z+8=")</f>
        <v>#VALUE!</v>
      </c>
      <c r="IG3" t="e">
        <f>AND('score card (2)'!B31,"AAAAAFi7z/A=")</f>
        <v>#VALUE!</v>
      </c>
      <c r="IH3" t="e">
        <f>AND('score card (2)'!C31,"AAAAAFi7z/E=")</f>
        <v>#VALUE!</v>
      </c>
      <c r="II3" t="e">
        <f>AND('score card (2)'!D31,"AAAAAFi7z/I=")</f>
        <v>#VALUE!</v>
      </c>
      <c r="IJ3" t="e">
        <f>AND('score card (2)'!E31,"AAAAAFi7z/M=")</f>
        <v>#VALUE!</v>
      </c>
      <c r="IK3" t="e">
        <f>AND('score card (2)'!F31,"AAAAAFi7z/Q=")</f>
        <v>#VALUE!</v>
      </c>
      <c r="IL3" t="e">
        <f>AND('score card (2)'!G31,"AAAAAFi7z/U=")</f>
        <v>#VALUE!</v>
      </c>
      <c r="IM3" t="e">
        <f>AND('score card (2)'!H31,"AAAAAFi7z/Y=")</f>
        <v>#VALUE!</v>
      </c>
      <c r="IN3" t="e">
        <f>AND('score card (2)'!I31,"AAAAAFi7z/c=")</f>
        <v>#VALUE!</v>
      </c>
      <c r="IO3" t="e">
        <f>AND('score card (2)'!J31,"AAAAAFi7z/g=")</f>
        <v>#VALUE!</v>
      </c>
      <c r="IP3" t="e">
        <f>AND('score card (2)'!K31,"AAAAAFi7z/k=")</f>
        <v>#VALUE!</v>
      </c>
      <c r="IQ3" t="e">
        <f>AND('score card (2)'!L31,"AAAAAFi7z/o=")</f>
        <v>#VALUE!</v>
      </c>
      <c r="IR3" t="e">
        <f>AND('score card (2)'!M31,"AAAAAFi7z/s=")</f>
        <v>#VALUE!</v>
      </c>
      <c r="IS3" t="e">
        <f>AND('score card (2)'!N31,"AAAAAFi7z/w=")</f>
        <v>#VALUE!</v>
      </c>
      <c r="IT3" t="e">
        <f>AND('score card (2)'!O31,"AAAAAFi7z/0=")</f>
        <v>#VALUE!</v>
      </c>
      <c r="IU3" t="e">
        <f>AND('score card (2)'!P31,"AAAAAFi7z/4=")</f>
        <v>#VALUE!</v>
      </c>
      <c r="IV3" t="e">
        <f>AND('score card (2)'!Q31,"AAAAAFi7z/8=")</f>
        <v>#VALUE!</v>
      </c>
    </row>
    <row r="4" spans="1:256" ht="12.75">
      <c r="A4" t="e">
        <f>AND('score card (2)'!R31,"AAAAABF2cgA=")</f>
        <v>#VALUE!</v>
      </c>
      <c r="B4" t="e">
        <f>AND('score card (2)'!S31,"AAAAABF2cgE=")</f>
        <v>#VALUE!</v>
      </c>
      <c r="C4" t="e">
        <f>AND('score card (2)'!T31,"AAAAABF2cgI=")</f>
        <v>#VALUE!</v>
      </c>
      <c r="D4" t="e">
        <f>AND('score card (2)'!U31,"AAAAABF2cgM=")</f>
        <v>#VALUE!</v>
      </c>
      <c r="E4" t="e">
        <f>AND('score card (2)'!V31,"AAAAABF2cgQ=")</f>
        <v>#VALUE!</v>
      </c>
      <c r="F4" t="e">
        <f>AND('score card (2)'!W31,"AAAAABF2cgU=")</f>
        <v>#VALUE!</v>
      </c>
      <c r="G4" t="e">
        <f>AND('score card (2)'!X31,"AAAAABF2cgY=")</f>
        <v>#VALUE!</v>
      </c>
      <c r="H4">
        <f>IF('score card (2)'!32:32,"AAAAABF2cgc=",0)</f>
        <v>0</v>
      </c>
      <c r="I4" t="e">
        <f>AND('score card (2)'!A32,"AAAAABF2cgg=")</f>
        <v>#VALUE!</v>
      </c>
      <c r="J4" t="e">
        <f>AND('score card (2)'!B32,"AAAAABF2cgk=")</f>
        <v>#VALUE!</v>
      </c>
      <c r="K4" t="e">
        <f>AND('score card (2)'!C32,"AAAAABF2cgo=")</f>
        <v>#VALUE!</v>
      </c>
      <c r="L4" t="e">
        <f>AND('score card (2)'!D32,"AAAAABF2cgs=")</f>
        <v>#VALUE!</v>
      </c>
      <c r="M4" t="e">
        <f>AND('score card (2)'!E32,"AAAAABF2cgw=")</f>
        <v>#VALUE!</v>
      </c>
      <c r="N4" t="e">
        <f>AND('score card (2)'!F32,"AAAAABF2cg0=")</f>
        <v>#VALUE!</v>
      </c>
      <c r="O4" t="e">
        <f>AND('score card (2)'!G32,"AAAAABF2cg4=")</f>
        <v>#VALUE!</v>
      </c>
      <c r="P4" t="e">
        <f>AND('score card (2)'!H32,"AAAAABF2cg8=")</f>
        <v>#VALUE!</v>
      </c>
      <c r="Q4" t="e">
        <f>AND('score card (2)'!I32,"AAAAABF2chA=")</f>
        <v>#VALUE!</v>
      </c>
      <c r="R4" t="e">
        <f>AND('score card (2)'!J32,"AAAAABF2chE=")</f>
        <v>#VALUE!</v>
      </c>
      <c r="S4" t="e">
        <f>AND('score card (2)'!K32,"AAAAABF2chI=")</f>
        <v>#VALUE!</v>
      </c>
      <c r="T4" t="e">
        <f>AND('score card (2)'!L32,"AAAAABF2chM=")</f>
        <v>#VALUE!</v>
      </c>
      <c r="U4" t="e">
        <f>AND('score card (2)'!M32,"AAAAABF2chQ=")</f>
        <v>#VALUE!</v>
      </c>
      <c r="V4" t="e">
        <f>AND('score card (2)'!N32,"AAAAABF2chU=")</f>
        <v>#VALUE!</v>
      </c>
      <c r="W4" t="e">
        <f>AND('score card (2)'!O32,"AAAAABF2chY=")</f>
        <v>#VALUE!</v>
      </c>
      <c r="X4" t="e">
        <f>AND('score card (2)'!P32,"AAAAABF2chc=")</f>
        <v>#VALUE!</v>
      </c>
      <c r="Y4" t="e">
        <f>AND('score card (2)'!Q32,"AAAAABF2chg=")</f>
        <v>#VALUE!</v>
      </c>
      <c r="Z4" t="e">
        <f>AND('score card (2)'!R32,"AAAAABF2chk=")</f>
        <v>#VALUE!</v>
      </c>
      <c r="AA4" t="e">
        <f>AND('score card (2)'!S32,"AAAAABF2cho=")</f>
        <v>#VALUE!</v>
      </c>
      <c r="AB4" t="e">
        <f>AND('score card (2)'!T32,"AAAAABF2chs=")</f>
        <v>#VALUE!</v>
      </c>
      <c r="AC4" t="e">
        <f>AND('score card (2)'!U32,"AAAAABF2chw=")</f>
        <v>#VALUE!</v>
      </c>
      <c r="AD4" t="e">
        <f>AND('score card (2)'!V32,"AAAAABF2ch0=")</f>
        <v>#VALUE!</v>
      </c>
      <c r="AE4" t="e">
        <f>AND('score card (2)'!W32,"AAAAABF2ch4=")</f>
        <v>#VALUE!</v>
      </c>
      <c r="AF4" t="e">
        <f>AND('score card (2)'!X32,"AAAAABF2ch8=")</f>
        <v>#VALUE!</v>
      </c>
      <c r="AG4">
        <f>IF('score card (2)'!33:33,"AAAAABF2ciA=",0)</f>
        <v>0</v>
      </c>
      <c r="AH4" t="e">
        <f>AND('score card (2)'!A33,"AAAAABF2ciE=")</f>
        <v>#VALUE!</v>
      </c>
      <c r="AI4" t="e">
        <f>AND('score card (2)'!B33,"AAAAABF2ciI=")</f>
        <v>#VALUE!</v>
      </c>
      <c r="AJ4" t="e">
        <f>AND('score card (2)'!C33,"AAAAABF2ciM=")</f>
        <v>#VALUE!</v>
      </c>
      <c r="AK4" t="e">
        <f>AND('score card (2)'!D33,"AAAAABF2ciQ=")</f>
        <v>#VALUE!</v>
      </c>
      <c r="AL4" t="e">
        <f>AND('score card (2)'!E33,"AAAAABF2ciU=")</f>
        <v>#VALUE!</v>
      </c>
      <c r="AM4" t="e">
        <f>AND('score card (2)'!F33,"AAAAABF2ciY=")</f>
        <v>#VALUE!</v>
      </c>
      <c r="AN4" t="e">
        <f>AND('score card (2)'!G33,"AAAAABF2cic=")</f>
        <v>#VALUE!</v>
      </c>
      <c r="AO4" t="e">
        <f>AND('score card (2)'!H33,"AAAAABF2cig=")</f>
        <v>#VALUE!</v>
      </c>
      <c r="AP4" t="e">
        <f>AND('score card (2)'!I33,"AAAAABF2cik=")</f>
        <v>#VALUE!</v>
      </c>
      <c r="AQ4" t="e">
        <f>AND('score card (2)'!J33,"AAAAABF2cio=")</f>
        <v>#VALUE!</v>
      </c>
      <c r="AR4" t="e">
        <f>AND('score card (2)'!K33,"AAAAABF2cis=")</f>
        <v>#VALUE!</v>
      </c>
      <c r="AS4" t="e">
        <f>AND('score card (2)'!L33,"AAAAABF2ciw=")</f>
        <v>#VALUE!</v>
      </c>
      <c r="AT4" t="e">
        <f>AND('score card (2)'!M33,"AAAAABF2ci0=")</f>
        <v>#VALUE!</v>
      </c>
      <c r="AU4" t="e">
        <f>AND('score card (2)'!N33,"AAAAABF2ci4=")</f>
        <v>#VALUE!</v>
      </c>
      <c r="AV4" t="e">
        <f>AND('score card (2)'!O33,"AAAAABF2ci8=")</f>
        <v>#VALUE!</v>
      </c>
      <c r="AW4" t="e">
        <f>AND('score card (2)'!P33,"AAAAABF2cjA=")</f>
        <v>#VALUE!</v>
      </c>
      <c r="AX4" t="e">
        <f>AND('score card (2)'!Q33,"AAAAABF2cjE=")</f>
        <v>#VALUE!</v>
      </c>
      <c r="AY4" t="e">
        <f>AND('score card (2)'!R33,"AAAAABF2cjI=")</f>
        <v>#VALUE!</v>
      </c>
      <c r="AZ4" t="e">
        <f>AND('score card (2)'!S33,"AAAAABF2cjM=")</f>
        <v>#VALUE!</v>
      </c>
      <c r="BA4" t="e">
        <f>AND('score card (2)'!T33,"AAAAABF2cjQ=")</f>
        <v>#VALUE!</v>
      </c>
      <c r="BB4" t="e">
        <f>AND('score card (2)'!U33,"AAAAABF2cjU=")</f>
        <v>#VALUE!</v>
      </c>
      <c r="BC4" t="e">
        <f>AND('score card (2)'!V33,"AAAAABF2cjY=")</f>
        <v>#VALUE!</v>
      </c>
      <c r="BD4" t="e">
        <f>AND('score card (2)'!W33,"AAAAABF2cjc=")</f>
        <v>#VALUE!</v>
      </c>
      <c r="BE4" t="e">
        <f>AND('score card (2)'!X33,"AAAAABF2cjg=")</f>
        <v>#VALUE!</v>
      </c>
      <c r="BF4">
        <f>IF('score card (2)'!34:34,"AAAAABF2cjk=",0)</f>
        <v>0</v>
      </c>
      <c r="BG4" t="e">
        <f>AND('score card (2)'!A34,"AAAAABF2cjo=")</f>
        <v>#VALUE!</v>
      </c>
      <c r="BH4" t="e">
        <f>AND('score card (2)'!B34,"AAAAABF2cjs=")</f>
        <v>#VALUE!</v>
      </c>
      <c r="BI4" t="e">
        <f>AND('score card (2)'!C34,"AAAAABF2cjw=")</f>
        <v>#VALUE!</v>
      </c>
      <c r="BJ4" t="e">
        <f>AND('score card (2)'!D34,"AAAAABF2cj0=")</f>
        <v>#VALUE!</v>
      </c>
      <c r="BK4" t="e">
        <f>AND('score card (2)'!E34,"AAAAABF2cj4=")</f>
        <v>#VALUE!</v>
      </c>
      <c r="BL4" t="e">
        <f>AND('score card (2)'!F34,"AAAAABF2cj8=")</f>
        <v>#VALUE!</v>
      </c>
      <c r="BM4" t="e">
        <f>AND('score card (2)'!G34,"AAAAABF2ckA=")</f>
        <v>#VALUE!</v>
      </c>
      <c r="BN4" t="e">
        <f>AND('score card (2)'!H34,"AAAAABF2ckE=")</f>
        <v>#VALUE!</v>
      </c>
      <c r="BO4" t="e">
        <f>AND('score card (2)'!I34,"AAAAABF2ckI=")</f>
        <v>#VALUE!</v>
      </c>
      <c r="BP4" t="e">
        <f>AND('score card (2)'!J34,"AAAAABF2ckM=")</f>
        <v>#VALUE!</v>
      </c>
      <c r="BQ4" t="e">
        <f>AND('score card (2)'!K34,"AAAAABF2ckQ=")</f>
        <v>#VALUE!</v>
      </c>
      <c r="BR4" t="e">
        <f>AND('score card (2)'!L34,"AAAAABF2ckU=")</f>
        <v>#VALUE!</v>
      </c>
      <c r="BS4" t="e">
        <f>AND('score card (2)'!M34,"AAAAABF2ckY=")</f>
        <v>#VALUE!</v>
      </c>
      <c r="BT4" t="e">
        <f>AND('score card (2)'!N34,"AAAAABF2ckc=")</f>
        <v>#VALUE!</v>
      </c>
      <c r="BU4" t="e">
        <f>AND('score card (2)'!O34,"AAAAABF2ckg=")</f>
        <v>#VALUE!</v>
      </c>
      <c r="BV4" t="e">
        <f>AND('score card (2)'!P34,"AAAAABF2ckk=")</f>
        <v>#VALUE!</v>
      </c>
      <c r="BW4" t="e">
        <f>AND('score card (2)'!Q34,"AAAAABF2cko=")</f>
        <v>#VALUE!</v>
      </c>
      <c r="BX4" t="e">
        <f>AND('score card (2)'!R34,"AAAAABF2cks=")</f>
        <v>#VALUE!</v>
      </c>
      <c r="BY4" t="e">
        <f>AND('score card (2)'!S34,"AAAAABF2ckw=")</f>
        <v>#VALUE!</v>
      </c>
      <c r="BZ4" t="e">
        <f>AND('score card (2)'!T34,"AAAAABF2ck0=")</f>
        <v>#VALUE!</v>
      </c>
      <c r="CA4" t="e">
        <f>AND('score card (2)'!U34,"AAAAABF2ck4=")</f>
        <v>#VALUE!</v>
      </c>
      <c r="CB4" t="e">
        <f>AND('score card (2)'!V34,"AAAAABF2ck8=")</f>
        <v>#VALUE!</v>
      </c>
      <c r="CC4" t="e">
        <f>AND('score card (2)'!W34,"AAAAABF2clA=")</f>
        <v>#VALUE!</v>
      </c>
      <c r="CD4" t="e">
        <f>AND('score card (2)'!X34,"AAAAABF2clE=")</f>
        <v>#VALUE!</v>
      </c>
      <c r="CE4">
        <f>IF('score card (2)'!35:35,"AAAAABF2clI=",0)</f>
        <v>0</v>
      </c>
      <c r="CF4" t="e">
        <f>AND('score card (2)'!A35,"AAAAABF2clM=")</f>
        <v>#VALUE!</v>
      </c>
      <c r="CG4" t="e">
        <f>AND('score card (2)'!B35,"AAAAABF2clQ=")</f>
        <v>#VALUE!</v>
      </c>
      <c r="CH4" t="e">
        <f>AND('score card (2)'!C35,"AAAAABF2clU=")</f>
        <v>#VALUE!</v>
      </c>
      <c r="CI4" t="e">
        <f>AND('score card (2)'!D35,"AAAAABF2clY=")</f>
        <v>#VALUE!</v>
      </c>
      <c r="CJ4" t="e">
        <f>AND('score card (2)'!E35,"AAAAABF2clc=")</f>
        <v>#VALUE!</v>
      </c>
      <c r="CK4" t="e">
        <f>AND('score card (2)'!F35,"AAAAABF2clg=")</f>
        <v>#VALUE!</v>
      </c>
      <c r="CL4" t="e">
        <f>AND('score card (2)'!G35,"AAAAABF2clk=")</f>
        <v>#VALUE!</v>
      </c>
      <c r="CM4" t="e">
        <f>AND('score card (2)'!H35,"AAAAABF2clo=")</f>
        <v>#VALUE!</v>
      </c>
      <c r="CN4" t="e">
        <f>AND('score card (2)'!I35,"AAAAABF2cls=")</f>
        <v>#VALUE!</v>
      </c>
      <c r="CO4" t="e">
        <f>AND('score card (2)'!J35,"AAAAABF2clw=")</f>
        <v>#VALUE!</v>
      </c>
      <c r="CP4" t="e">
        <f>AND('score card (2)'!K35,"AAAAABF2cl0=")</f>
        <v>#VALUE!</v>
      </c>
      <c r="CQ4" t="e">
        <f>AND('score card (2)'!L35,"AAAAABF2cl4=")</f>
        <v>#VALUE!</v>
      </c>
      <c r="CR4" t="e">
        <f>AND('score card (2)'!M35,"AAAAABF2cl8=")</f>
        <v>#VALUE!</v>
      </c>
      <c r="CS4" t="e">
        <f>AND('score card (2)'!N35,"AAAAABF2cmA=")</f>
        <v>#VALUE!</v>
      </c>
      <c r="CT4" t="e">
        <f>AND('score card (2)'!O35,"AAAAABF2cmE=")</f>
        <v>#VALUE!</v>
      </c>
      <c r="CU4" t="e">
        <f>AND('score card (2)'!P35,"AAAAABF2cmI=")</f>
        <v>#VALUE!</v>
      </c>
      <c r="CV4" t="e">
        <f>AND('score card (2)'!Q35,"AAAAABF2cmM=")</f>
        <v>#VALUE!</v>
      </c>
      <c r="CW4" t="e">
        <f>AND('score card (2)'!R35,"AAAAABF2cmQ=")</f>
        <v>#VALUE!</v>
      </c>
      <c r="CX4" t="e">
        <f>AND('score card (2)'!S35,"AAAAABF2cmU=")</f>
        <v>#VALUE!</v>
      </c>
      <c r="CY4" t="e">
        <f>AND('score card (2)'!T35,"AAAAABF2cmY=")</f>
        <v>#VALUE!</v>
      </c>
      <c r="CZ4" t="e">
        <f>AND('score card (2)'!U35,"AAAAABF2cmc=")</f>
        <v>#VALUE!</v>
      </c>
      <c r="DA4" t="e">
        <f>AND('score card (2)'!V35,"AAAAABF2cmg=")</f>
        <v>#VALUE!</v>
      </c>
      <c r="DB4" t="e">
        <f>AND('score card (2)'!W35,"AAAAABF2cmk=")</f>
        <v>#VALUE!</v>
      </c>
      <c r="DC4" t="e">
        <f>AND('score card (2)'!X35,"AAAAABF2cmo=")</f>
        <v>#VALUE!</v>
      </c>
      <c r="DD4">
        <f>IF('score card (2)'!36:36,"AAAAABF2cms=",0)</f>
        <v>0</v>
      </c>
      <c r="DE4" t="e">
        <f>AND('score card (2)'!A36,"AAAAABF2cmw=")</f>
        <v>#VALUE!</v>
      </c>
      <c r="DF4" t="e">
        <f>AND('score card (2)'!B36,"AAAAABF2cm0=")</f>
        <v>#VALUE!</v>
      </c>
      <c r="DG4" t="e">
        <f>AND('score card (2)'!C36,"AAAAABF2cm4=")</f>
        <v>#VALUE!</v>
      </c>
      <c r="DH4" t="e">
        <f>AND('score card (2)'!D36,"AAAAABF2cm8=")</f>
        <v>#VALUE!</v>
      </c>
      <c r="DI4" t="e">
        <f>AND('score card (2)'!E36,"AAAAABF2cnA=")</f>
        <v>#VALUE!</v>
      </c>
      <c r="DJ4" t="e">
        <f>AND('score card (2)'!F36,"AAAAABF2cnE=")</f>
        <v>#VALUE!</v>
      </c>
      <c r="DK4" t="e">
        <f>AND('score card (2)'!G36,"AAAAABF2cnI=")</f>
        <v>#VALUE!</v>
      </c>
      <c r="DL4" t="e">
        <f>AND('score card (2)'!H36,"AAAAABF2cnM=")</f>
        <v>#VALUE!</v>
      </c>
      <c r="DM4" t="e">
        <f>AND('score card (2)'!I36,"AAAAABF2cnQ=")</f>
        <v>#VALUE!</v>
      </c>
      <c r="DN4" t="e">
        <f>AND('score card (2)'!J36,"AAAAABF2cnU=")</f>
        <v>#VALUE!</v>
      </c>
      <c r="DO4" t="e">
        <f>AND('score card (2)'!K36,"AAAAABF2cnY=")</f>
        <v>#VALUE!</v>
      </c>
      <c r="DP4" t="e">
        <f>AND('score card (2)'!L36,"AAAAABF2cnc=")</f>
        <v>#VALUE!</v>
      </c>
      <c r="DQ4" t="e">
        <f>AND('score card (2)'!M36,"AAAAABF2cng=")</f>
        <v>#VALUE!</v>
      </c>
      <c r="DR4" t="e">
        <f>AND('score card (2)'!N36,"AAAAABF2cnk=")</f>
        <v>#VALUE!</v>
      </c>
      <c r="DS4" t="e">
        <f>AND('score card (2)'!O36,"AAAAABF2cno=")</f>
        <v>#VALUE!</v>
      </c>
      <c r="DT4" t="e">
        <f>AND('score card (2)'!P36,"AAAAABF2cns=")</f>
        <v>#VALUE!</v>
      </c>
      <c r="DU4" t="e">
        <f>AND('score card (2)'!Q36,"AAAAABF2cnw=")</f>
        <v>#VALUE!</v>
      </c>
      <c r="DV4" t="e">
        <f>AND('score card (2)'!R36,"AAAAABF2cn0=")</f>
        <v>#VALUE!</v>
      </c>
      <c r="DW4" t="e">
        <f>AND('score card (2)'!S36,"AAAAABF2cn4=")</f>
        <v>#VALUE!</v>
      </c>
      <c r="DX4" t="e">
        <f>AND('score card (2)'!T36,"AAAAABF2cn8=")</f>
        <v>#VALUE!</v>
      </c>
      <c r="DY4" t="e">
        <f>AND('score card (2)'!U36,"AAAAABF2coA=")</f>
        <v>#VALUE!</v>
      </c>
      <c r="DZ4" t="e">
        <f>AND('score card (2)'!V36,"AAAAABF2coE=")</f>
        <v>#VALUE!</v>
      </c>
      <c r="EA4" t="e">
        <f>AND('score card (2)'!W36,"AAAAABF2coI=")</f>
        <v>#VALUE!</v>
      </c>
      <c r="EB4" t="e">
        <f>AND('score card (2)'!X36,"AAAAABF2coM=")</f>
        <v>#VALUE!</v>
      </c>
      <c r="EC4">
        <f>IF('score card (2)'!37:37,"AAAAABF2coQ=",0)</f>
        <v>0</v>
      </c>
      <c r="ED4" t="e">
        <f>AND('score card (2)'!A37,"AAAAABF2coU=")</f>
        <v>#VALUE!</v>
      </c>
      <c r="EE4" t="e">
        <f>AND('score card (2)'!B37,"AAAAABF2coY=")</f>
        <v>#VALUE!</v>
      </c>
      <c r="EF4" t="e">
        <f>AND('score card (2)'!C37,"AAAAABF2coc=")</f>
        <v>#VALUE!</v>
      </c>
      <c r="EG4" t="e">
        <f>AND('score card (2)'!D37,"AAAAABF2cog=")</f>
        <v>#VALUE!</v>
      </c>
      <c r="EH4" t="e">
        <f>AND('score card (2)'!E37,"AAAAABF2cok=")</f>
        <v>#VALUE!</v>
      </c>
      <c r="EI4" t="e">
        <f>AND('score card (2)'!F37,"AAAAABF2coo=")</f>
        <v>#VALUE!</v>
      </c>
      <c r="EJ4" t="e">
        <f>AND('score card (2)'!G37,"AAAAABF2cos=")</f>
        <v>#VALUE!</v>
      </c>
      <c r="EK4" t="e">
        <f>AND('score card (2)'!H37,"AAAAABF2cow=")</f>
        <v>#VALUE!</v>
      </c>
      <c r="EL4" t="e">
        <f>AND('score card (2)'!I37,"AAAAABF2co0=")</f>
        <v>#VALUE!</v>
      </c>
      <c r="EM4" t="e">
        <f>AND('score card (2)'!J37,"AAAAABF2co4=")</f>
        <v>#VALUE!</v>
      </c>
      <c r="EN4" t="e">
        <f>AND('score card (2)'!K37,"AAAAABF2co8=")</f>
        <v>#VALUE!</v>
      </c>
      <c r="EO4" t="e">
        <f>AND('score card (2)'!L37,"AAAAABF2cpA=")</f>
        <v>#VALUE!</v>
      </c>
      <c r="EP4" t="e">
        <f>AND('score card (2)'!M37,"AAAAABF2cpE=")</f>
        <v>#VALUE!</v>
      </c>
      <c r="EQ4" t="e">
        <f>AND('score card (2)'!N37,"AAAAABF2cpI=")</f>
        <v>#VALUE!</v>
      </c>
      <c r="ER4" t="e">
        <f>AND('score card (2)'!O37,"AAAAABF2cpM=")</f>
        <v>#VALUE!</v>
      </c>
      <c r="ES4" t="e">
        <f>AND('score card (2)'!P37,"AAAAABF2cpQ=")</f>
        <v>#VALUE!</v>
      </c>
      <c r="ET4" t="e">
        <f>AND('score card (2)'!Q37,"AAAAABF2cpU=")</f>
        <v>#VALUE!</v>
      </c>
      <c r="EU4" t="e">
        <f>AND('score card (2)'!R37,"AAAAABF2cpY=")</f>
        <v>#VALUE!</v>
      </c>
      <c r="EV4" t="e">
        <f>AND('score card (2)'!S37,"AAAAABF2cpc=")</f>
        <v>#VALUE!</v>
      </c>
      <c r="EW4" t="e">
        <f>AND('score card (2)'!T37,"AAAAABF2cpg=")</f>
        <v>#VALUE!</v>
      </c>
      <c r="EX4" t="e">
        <f>AND('score card (2)'!U37,"AAAAABF2cpk=")</f>
        <v>#VALUE!</v>
      </c>
      <c r="EY4" t="e">
        <f>AND('score card (2)'!V37,"AAAAABF2cpo=")</f>
        <v>#VALUE!</v>
      </c>
      <c r="EZ4" t="e">
        <f>AND('score card (2)'!W37,"AAAAABF2cps=")</f>
        <v>#VALUE!</v>
      </c>
      <c r="FA4" t="e">
        <f>AND('score card (2)'!X37,"AAAAABF2cpw=")</f>
        <v>#VALUE!</v>
      </c>
      <c r="FB4">
        <f>IF('score card (2)'!38:38,"AAAAABF2cp0=",0)</f>
        <v>0</v>
      </c>
      <c r="FC4" t="e">
        <f>AND('score card (2)'!A38,"AAAAABF2cp4=")</f>
        <v>#VALUE!</v>
      </c>
      <c r="FD4" t="e">
        <f>AND('score card (2)'!B38,"AAAAABF2cp8=")</f>
        <v>#VALUE!</v>
      </c>
      <c r="FE4" t="e">
        <f>AND('score card (2)'!C38,"AAAAABF2cqA=")</f>
        <v>#VALUE!</v>
      </c>
      <c r="FF4" t="e">
        <f>AND('score card (2)'!D38,"AAAAABF2cqE=")</f>
        <v>#VALUE!</v>
      </c>
      <c r="FG4" t="e">
        <f>AND('score card (2)'!E38,"AAAAABF2cqI=")</f>
        <v>#VALUE!</v>
      </c>
      <c r="FH4" t="e">
        <f>AND('score card (2)'!F38,"AAAAABF2cqM=")</f>
        <v>#VALUE!</v>
      </c>
      <c r="FI4" t="e">
        <f>AND('score card (2)'!G38,"AAAAABF2cqQ=")</f>
        <v>#VALUE!</v>
      </c>
      <c r="FJ4" t="e">
        <f>AND('score card (2)'!H38,"AAAAABF2cqU=")</f>
        <v>#VALUE!</v>
      </c>
      <c r="FK4" t="e">
        <f>AND('score card (2)'!I38,"AAAAABF2cqY=")</f>
        <v>#VALUE!</v>
      </c>
      <c r="FL4" t="e">
        <f>AND('score card (2)'!J38,"AAAAABF2cqc=")</f>
        <v>#VALUE!</v>
      </c>
      <c r="FM4" t="e">
        <f>AND('score card (2)'!K38,"AAAAABF2cqg=")</f>
        <v>#VALUE!</v>
      </c>
      <c r="FN4" t="e">
        <f>AND('score card (2)'!L38,"AAAAABF2cqk=")</f>
        <v>#VALUE!</v>
      </c>
      <c r="FO4" t="e">
        <f>AND('score card (2)'!M38,"AAAAABF2cqo=")</f>
        <v>#VALUE!</v>
      </c>
      <c r="FP4" t="e">
        <f>AND('score card (2)'!N38,"AAAAABF2cqs=")</f>
        <v>#VALUE!</v>
      </c>
      <c r="FQ4" t="e">
        <f>AND('score card (2)'!O38,"AAAAABF2cqw=")</f>
        <v>#VALUE!</v>
      </c>
      <c r="FR4" t="e">
        <f>AND('score card (2)'!P38,"AAAAABF2cq0=")</f>
        <v>#VALUE!</v>
      </c>
      <c r="FS4" t="e">
        <f>AND('score card (2)'!Q38,"AAAAABF2cq4=")</f>
        <v>#VALUE!</v>
      </c>
      <c r="FT4" t="e">
        <f>AND('score card (2)'!R38,"AAAAABF2cq8=")</f>
        <v>#VALUE!</v>
      </c>
      <c r="FU4" t="e">
        <f>AND('score card (2)'!S38,"AAAAABF2crA=")</f>
        <v>#VALUE!</v>
      </c>
      <c r="FV4" t="e">
        <f>AND('score card (2)'!T38,"AAAAABF2crE=")</f>
        <v>#VALUE!</v>
      </c>
      <c r="FW4" t="e">
        <f>AND('score card (2)'!U38,"AAAAABF2crI=")</f>
        <v>#VALUE!</v>
      </c>
      <c r="FX4" t="e">
        <f>AND('score card (2)'!V38,"AAAAABF2crM=")</f>
        <v>#VALUE!</v>
      </c>
      <c r="FY4" t="e">
        <f>AND('score card (2)'!W38,"AAAAABF2crQ=")</f>
        <v>#VALUE!</v>
      </c>
      <c r="FZ4" t="e">
        <f>AND('score card (2)'!X38,"AAAAABF2crU=")</f>
        <v>#VALUE!</v>
      </c>
      <c r="GA4">
        <f>IF('score card (2)'!39:39,"AAAAABF2crY=",0)</f>
        <v>0</v>
      </c>
      <c r="GB4" t="e">
        <f>AND('score card (2)'!A39,"AAAAABF2crc=")</f>
        <v>#VALUE!</v>
      </c>
      <c r="GC4" t="e">
        <f>AND('score card (2)'!B39,"AAAAABF2crg=")</f>
        <v>#VALUE!</v>
      </c>
      <c r="GD4" t="e">
        <f>AND('score card (2)'!C39,"AAAAABF2crk=")</f>
        <v>#VALUE!</v>
      </c>
      <c r="GE4" t="e">
        <f>AND('score card (2)'!D39,"AAAAABF2cro=")</f>
        <v>#VALUE!</v>
      </c>
      <c r="GF4" t="e">
        <f>AND('score card (2)'!E39,"AAAAABF2crs=")</f>
        <v>#VALUE!</v>
      </c>
      <c r="GG4" t="e">
        <f>AND('score card (2)'!F39,"AAAAABF2crw=")</f>
        <v>#VALUE!</v>
      </c>
      <c r="GH4" t="e">
        <f>AND('score card (2)'!G39,"AAAAABF2cr0=")</f>
        <v>#VALUE!</v>
      </c>
      <c r="GI4" t="e">
        <f>AND('score card (2)'!H39,"AAAAABF2cr4=")</f>
        <v>#VALUE!</v>
      </c>
      <c r="GJ4" t="e">
        <f>AND('score card (2)'!I39,"AAAAABF2cr8=")</f>
        <v>#VALUE!</v>
      </c>
      <c r="GK4" t="e">
        <f>AND('score card (2)'!J39,"AAAAABF2csA=")</f>
        <v>#VALUE!</v>
      </c>
      <c r="GL4" t="e">
        <f>AND('score card (2)'!K39,"AAAAABF2csE=")</f>
        <v>#VALUE!</v>
      </c>
      <c r="GM4" t="e">
        <f>AND('score card (2)'!L39,"AAAAABF2csI=")</f>
        <v>#VALUE!</v>
      </c>
      <c r="GN4" t="e">
        <f>AND('score card (2)'!M39,"AAAAABF2csM=")</f>
        <v>#VALUE!</v>
      </c>
      <c r="GO4" t="e">
        <f>AND('score card (2)'!N39,"AAAAABF2csQ=")</f>
        <v>#VALUE!</v>
      </c>
      <c r="GP4" t="e">
        <f>AND('score card (2)'!O39,"AAAAABF2csU=")</f>
        <v>#VALUE!</v>
      </c>
      <c r="GQ4" t="e">
        <f>AND('score card (2)'!P39,"AAAAABF2csY=")</f>
        <v>#VALUE!</v>
      </c>
      <c r="GR4" t="e">
        <f>AND('score card (2)'!Q39,"AAAAABF2csc=")</f>
        <v>#VALUE!</v>
      </c>
      <c r="GS4" t="e">
        <f>AND('score card (2)'!R39,"AAAAABF2csg=")</f>
        <v>#VALUE!</v>
      </c>
      <c r="GT4" t="e">
        <f>AND('score card (2)'!S39,"AAAAABF2csk=")</f>
        <v>#VALUE!</v>
      </c>
      <c r="GU4" t="e">
        <f>AND('score card (2)'!T39,"AAAAABF2cso=")</f>
        <v>#VALUE!</v>
      </c>
      <c r="GV4" t="e">
        <f>AND('score card (2)'!U39,"AAAAABF2css=")</f>
        <v>#VALUE!</v>
      </c>
      <c r="GW4" t="e">
        <f>AND('score card (2)'!V39,"AAAAABF2csw=")</f>
        <v>#VALUE!</v>
      </c>
      <c r="GX4" t="e">
        <f>AND('score card (2)'!W39,"AAAAABF2cs0=")</f>
        <v>#VALUE!</v>
      </c>
      <c r="GY4" t="e">
        <f>AND('score card (2)'!X39,"AAAAABF2cs4=")</f>
        <v>#VALUE!</v>
      </c>
      <c r="GZ4">
        <f>IF('score card (2)'!40:40,"AAAAABF2cs8=",0)</f>
        <v>0</v>
      </c>
      <c r="HA4" t="e">
        <f>AND('score card (2)'!A40,"AAAAABF2ctA=")</f>
        <v>#VALUE!</v>
      </c>
      <c r="HB4" t="e">
        <f>AND('score card (2)'!B40,"AAAAABF2ctE=")</f>
        <v>#VALUE!</v>
      </c>
      <c r="HC4" t="e">
        <f>AND('score card (2)'!C40,"AAAAABF2ctI=")</f>
        <v>#VALUE!</v>
      </c>
      <c r="HD4" t="e">
        <f>AND('score card (2)'!D40,"AAAAABF2ctM=")</f>
        <v>#VALUE!</v>
      </c>
      <c r="HE4" t="e">
        <f>AND('score card (2)'!E40,"AAAAABF2ctQ=")</f>
        <v>#VALUE!</v>
      </c>
      <c r="HF4" t="e">
        <f>AND('score card (2)'!F40,"AAAAABF2ctU=")</f>
        <v>#VALUE!</v>
      </c>
      <c r="HG4" t="e">
        <f>AND('score card (2)'!G40,"AAAAABF2ctY=")</f>
        <v>#VALUE!</v>
      </c>
      <c r="HH4" t="e">
        <f>AND('score card (2)'!H40,"AAAAABF2ctc=")</f>
        <v>#VALUE!</v>
      </c>
      <c r="HI4" t="e">
        <f>AND('score card (2)'!I40,"AAAAABF2ctg=")</f>
        <v>#VALUE!</v>
      </c>
      <c r="HJ4" t="e">
        <f>AND('score card (2)'!J40,"AAAAABF2ctk=")</f>
        <v>#VALUE!</v>
      </c>
      <c r="HK4" t="e">
        <f>AND('score card (2)'!K40,"AAAAABF2cto=")</f>
        <v>#VALUE!</v>
      </c>
      <c r="HL4" t="e">
        <f>AND('score card (2)'!L40,"AAAAABF2cts=")</f>
        <v>#VALUE!</v>
      </c>
      <c r="HM4" t="e">
        <f>AND('score card (2)'!M40,"AAAAABF2ctw=")</f>
        <v>#VALUE!</v>
      </c>
      <c r="HN4" t="e">
        <f>AND('score card (2)'!N40,"AAAAABF2ct0=")</f>
        <v>#VALUE!</v>
      </c>
      <c r="HO4" t="e">
        <f>AND('score card (2)'!O40,"AAAAABF2ct4=")</f>
        <v>#VALUE!</v>
      </c>
      <c r="HP4" t="e">
        <f>AND('score card (2)'!P40,"AAAAABF2ct8=")</f>
        <v>#VALUE!</v>
      </c>
      <c r="HQ4" t="e">
        <f>AND('score card (2)'!Q40,"AAAAABF2cuA=")</f>
        <v>#VALUE!</v>
      </c>
      <c r="HR4" t="e">
        <f>AND('score card (2)'!R40,"AAAAABF2cuE=")</f>
        <v>#VALUE!</v>
      </c>
      <c r="HS4" t="e">
        <f>AND('score card (2)'!S40,"AAAAABF2cuI=")</f>
        <v>#VALUE!</v>
      </c>
      <c r="HT4" t="e">
        <f>AND('score card (2)'!T40,"AAAAABF2cuM=")</f>
        <v>#VALUE!</v>
      </c>
      <c r="HU4" t="e">
        <f>AND('score card (2)'!U40,"AAAAABF2cuQ=")</f>
        <v>#VALUE!</v>
      </c>
      <c r="HV4" t="e">
        <f>AND('score card (2)'!V40,"AAAAABF2cuU=")</f>
        <v>#VALUE!</v>
      </c>
      <c r="HW4" t="e">
        <f>AND('score card (2)'!W40,"AAAAABF2cuY=")</f>
        <v>#VALUE!</v>
      </c>
      <c r="HX4" t="e">
        <f>AND('score card (2)'!X40,"AAAAABF2cuc=")</f>
        <v>#VALUE!</v>
      </c>
      <c r="HY4">
        <f>IF('score card (2)'!41:41,"AAAAABF2cug=",0)</f>
        <v>0</v>
      </c>
      <c r="HZ4" t="e">
        <f>AND('score card (2)'!A41,"AAAAABF2cuk=")</f>
        <v>#VALUE!</v>
      </c>
      <c r="IA4" t="e">
        <f>AND('score card (2)'!B41,"AAAAABF2cuo=")</f>
        <v>#VALUE!</v>
      </c>
      <c r="IB4" t="e">
        <f>AND('score card (2)'!C41,"AAAAABF2cus=")</f>
        <v>#VALUE!</v>
      </c>
      <c r="IC4" t="e">
        <f>AND('score card (2)'!D41,"AAAAABF2cuw=")</f>
        <v>#VALUE!</v>
      </c>
      <c r="ID4" t="e">
        <f>AND('score card (2)'!E41,"AAAAABF2cu0=")</f>
        <v>#VALUE!</v>
      </c>
      <c r="IE4" t="e">
        <f>AND('score card (2)'!F41,"AAAAABF2cu4=")</f>
        <v>#VALUE!</v>
      </c>
      <c r="IF4" t="e">
        <f>AND('score card (2)'!G41,"AAAAABF2cu8=")</f>
        <v>#VALUE!</v>
      </c>
      <c r="IG4" t="e">
        <f>AND('score card (2)'!H41,"AAAAABF2cvA=")</f>
        <v>#VALUE!</v>
      </c>
      <c r="IH4" t="e">
        <f>AND('score card (2)'!I41,"AAAAABF2cvE=")</f>
        <v>#VALUE!</v>
      </c>
      <c r="II4" t="e">
        <f>AND('score card (2)'!J41,"AAAAABF2cvI=")</f>
        <v>#VALUE!</v>
      </c>
      <c r="IJ4" t="e">
        <f>AND('score card (2)'!K41,"AAAAABF2cvM=")</f>
        <v>#VALUE!</v>
      </c>
      <c r="IK4" t="e">
        <f>AND('score card (2)'!L41,"AAAAABF2cvQ=")</f>
        <v>#VALUE!</v>
      </c>
      <c r="IL4" t="e">
        <f>AND('score card (2)'!M41,"AAAAABF2cvU=")</f>
        <v>#VALUE!</v>
      </c>
      <c r="IM4" t="e">
        <f>AND('score card (2)'!N41,"AAAAABF2cvY=")</f>
        <v>#VALUE!</v>
      </c>
      <c r="IN4" t="e">
        <f>AND('score card (2)'!O41,"AAAAABF2cvc=")</f>
        <v>#VALUE!</v>
      </c>
      <c r="IO4" t="e">
        <f>AND('score card (2)'!P41,"AAAAABF2cvg=")</f>
        <v>#VALUE!</v>
      </c>
      <c r="IP4" t="e">
        <f>AND('score card (2)'!Q41,"AAAAABF2cvk=")</f>
        <v>#VALUE!</v>
      </c>
      <c r="IQ4" t="e">
        <f>AND('score card (2)'!R41,"AAAAABF2cvo=")</f>
        <v>#VALUE!</v>
      </c>
      <c r="IR4" t="e">
        <f>AND('score card (2)'!S41,"AAAAABF2cvs=")</f>
        <v>#VALUE!</v>
      </c>
      <c r="IS4" t="e">
        <f>AND('score card (2)'!T41,"AAAAABF2cvw=")</f>
        <v>#VALUE!</v>
      </c>
      <c r="IT4" t="e">
        <f>AND('score card (2)'!U41,"AAAAABF2cv0=")</f>
        <v>#VALUE!</v>
      </c>
      <c r="IU4" t="e">
        <f>AND('score card (2)'!V41,"AAAAABF2cv4=")</f>
        <v>#VALUE!</v>
      </c>
      <c r="IV4" t="e">
        <f>AND('score card (2)'!W41,"AAAAABF2cv8=")</f>
        <v>#VALUE!</v>
      </c>
    </row>
    <row r="5" spans="1:256" ht="12.75">
      <c r="A5" t="e">
        <f>AND('score card (2)'!X41,"AAAAACO3uwA=")</f>
        <v>#VALUE!</v>
      </c>
      <c r="B5">
        <f>IF('score card (2)'!42:42,"AAAAACO3uwE=",0)</f>
        <v>0</v>
      </c>
      <c r="C5" t="e">
        <f>AND('score card (2)'!A42,"AAAAACO3uwI=")</f>
        <v>#VALUE!</v>
      </c>
      <c r="D5" t="e">
        <f>AND('score card (2)'!B42,"AAAAACO3uwM=")</f>
        <v>#VALUE!</v>
      </c>
      <c r="E5" t="e">
        <f>AND('score card (2)'!C42,"AAAAACO3uwQ=")</f>
        <v>#VALUE!</v>
      </c>
      <c r="F5" t="e">
        <f>AND('score card (2)'!D42,"AAAAACO3uwU=")</f>
        <v>#VALUE!</v>
      </c>
      <c r="G5" t="e">
        <f>AND('score card (2)'!E42,"AAAAACO3uwY=")</f>
        <v>#VALUE!</v>
      </c>
      <c r="H5" t="e">
        <f>AND('score card (2)'!F42,"AAAAACO3uwc=")</f>
        <v>#VALUE!</v>
      </c>
      <c r="I5" t="e">
        <f>AND('score card (2)'!G42,"AAAAACO3uwg=")</f>
        <v>#VALUE!</v>
      </c>
      <c r="J5" t="e">
        <f>AND('score card (2)'!H42,"AAAAACO3uwk=")</f>
        <v>#VALUE!</v>
      </c>
      <c r="K5" t="e">
        <f>AND('score card (2)'!I42,"AAAAACO3uwo=")</f>
        <v>#VALUE!</v>
      </c>
      <c r="L5" t="e">
        <f>AND('score card (2)'!J42,"AAAAACO3uws=")</f>
        <v>#VALUE!</v>
      </c>
      <c r="M5" t="e">
        <f>AND('score card (2)'!K42,"AAAAACO3uww=")</f>
        <v>#VALUE!</v>
      </c>
      <c r="N5" t="e">
        <f>AND('score card (2)'!L42,"AAAAACO3uw0=")</f>
        <v>#VALUE!</v>
      </c>
      <c r="O5" t="e">
        <f>AND('score card (2)'!M42,"AAAAACO3uw4=")</f>
        <v>#VALUE!</v>
      </c>
      <c r="P5" t="e">
        <f>AND('score card (2)'!N42,"AAAAACO3uw8=")</f>
        <v>#VALUE!</v>
      </c>
      <c r="Q5" t="e">
        <f>AND('score card (2)'!O42,"AAAAACO3uxA=")</f>
        <v>#VALUE!</v>
      </c>
      <c r="R5" t="e">
        <f>AND('score card (2)'!P42,"AAAAACO3uxE=")</f>
        <v>#VALUE!</v>
      </c>
      <c r="S5" t="e">
        <f>AND('score card (2)'!Q42,"AAAAACO3uxI=")</f>
        <v>#VALUE!</v>
      </c>
      <c r="T5" t="e">
        <f>AND('score card (2)'!R42,"AAAAACO3uxM=")</f>
        <v>#VALUE!</v>
      </c>
      <c r="U5" t="e">
        <f>AND('score card (2)'!S42,"AAAAACO3uxQ=")</f>
        <v>#VALUE!</v>
      </c>
      <c r="V5" t="e">
        <f>AND('score card (2)'!T42,"AAAAACO3uxU=")</f>
        <v>#VALUE!</v>
      </c>
      <c r="W5" t="e">
        <f>AND('score card (2)'!U42,"AAAAACO3uxY=")</f>
        <v>#VALUE!</v>
      </c>
      <c r="X5" t="e">
        <f>AND('score card (2)'!V42,"AAAAACO3uxc=")</f>
        <v>#VALUE!</v>
      </c>
      <c r="Y5" t="e">
        <f>AND('score card (2)'!W42,"AAAAACO3uxg=")</f>
        <v>#VALUE!</v>
      </c>
      <c r="Z5" t="e">
        <f>AND('score card (2)'!X42,"AAAAACO3uxk=")</f>
        <v>#VALUE!</v>
      </c>
      <c r="AA5">
        <f>IF('score card (2)'!43:43,"AAAAACO3uxo=",0)</f>
        <v>0</v>
      </c>
      <c r="AB5" t="e">
        <f>AND('score card (2)'!A43,"AAAAACO3uxs=")</f>
        <v>#VALUE!</v>
      </c>
      <c r="AC5" t="e">
        <f>AND('score card (2)'!B43,"AAAAACO3uxw=")</f>
        <v>#VALUE!</v>
      </c>
      <c r="AD5" t="e">
        <f>AND('score card (2)'!C43,"AAAAACO3ux0=")</f>
        <v>#VALUE!</v>
      </c>
      <c r="AE5" t="e">
        <f>AND('score card (2)'!D43,"AAAAACO3ux4=")</f>
        <v>#VALUE!</v>
      </c>
      <c r="AF5" t="e">
        <f>AND('score card (2)'!E43,"AAAAACO3ux8=")</f>
        <v>#VALUE!</v>
      </c>
      <c r="AG5" t="e">
        <f>AND('score card (2)'!F43,"AAAAACO3uyA=")</f>
        <v>#VALUE!</v>
      </c>
      <c r="AH5" t="e">
        <f>AND('score card (2)'!G43,"AAAAACO3uyE=")</f>
        <v>#VALUE!</v>
      </c>
      <c r="AI5" t="e">
        <f>AND('score card (2)'!H43,"AAAAACO3uyI=")</f>
        <v>#VALUE!</v>
      </c>
      <c r="AJ5" t="e">
        <f>AND('score card (2)'!I43,"AAAAACO3uyM=")</f>
        <v>#VALUE!</v>
      </c>
      <c r="AK5" t="e">
        <f>AND('score card (2)'!J43,"AAAAACO3uyQ=")</f>
        <v>#VALUE!</v>
      </c>
      <c r="AL5" t="e">
        <f>AND('score card (2)'!K43,"AAAAACO3uyU=")</f>
        <v>#VALUE!</v>
      </c>
      <c r="AM5" t="e">
        <f>AND('score card (2)'!L43,"AAAAACO3uyY=")</f>
        <v>#VALUE!</v>
      </c>
      <c r="AN5" t="e">
        <f>AND('score card (2)'!M43,"AAAAACO3uyc=")</f>
        <v>#VALUE!</v>
      </c>
      <c r="AO5" t="e">
        <f>AND('score card (2)'!N43,"AAAAACO3uyg=")</f>
        <v>#VALUE!</v>
      </c>
      <c r="AP5" t="e">
        <f>AND('score card (2)'!O43,"AAAAACO3uyk=")</f>
        <v>#VALUE!</v>
      </c>
      <c r="AQ5" t="e">
        <f>AND('score card (2)'!P43,"AAAAACO3uyo=")</f>
        <v>#VALUE!</v>
      </c>
      <c r="AR5" t="e">
        <f>AND('score card (2)'!Q43,"AAAAACO3uys=")</f>
        <v>#VALUE!</v>
      </c>
      <c r="AS5" t="e">
        <f>AND('score card (2)'!R43,"AAAAACO3uyw=")</f>
        <v>#VALUE!</v>
      </c>
      <c r="AT5" t="e">
        <f>AND('score card (2)'!S43,"AAAAACO3uy0=")</f>
        <v>#VALUE!</v>
      </c>
      <c r="AU5" t="e">
        <f>AND('score card (2)'!T43,"AAAAACO3uy4=")</f>
        <v>#VALUE!</v>
      </c>
      <c r="AV5" t="e">
        <f>AND('score card (2)'!U43,"AAAAACO3uy8=")</f>
        <v>#VALUE!</v>
      </c>
      <c r="AW5" t="e">
        <f>AND('score card (2)'!V43,"AAAAACO3uzA=")</f>
        <v>#VALUE!</v>
      </c>
      <c r="AX5" t="e">
        <f>AND('score card (2)'!W43,"AAAAACO3uzE=")</f>
        <v>#VALUE!</v>
      </c>
      <c r="AY5" t="e">
        <f>AND('score card (2)'!X43,"AAAAACO3uzI=")</f>
        <v>#VALUE!</v>
      </c>
      <c r="AZ5">
        <f>IF('score card (2)'!44:44,"AAAAACO3uzM=",0)</f>
        <v>0</v>
      </c>
      <c r="BA5" t="e">
        <f>AND('score card (2)'!A44,"AAAAACO3uzQ=")</f>
        <v>#VALUE!</v>
      </c>
      <c r="BB5" t="e">
        <f>AND('score card (2)'!B44,"AAAAACO3uzU=")</f>
        <v>#VALUE!</v>
      </c>
      <c r="BC5" t="e">
        <f>AND('score card (2)'!C44,"AAAAACO3uzY=")</f>
        <v>#VALUE!</v>
      </c>
      <c r="BD5" t="e">
        <f>AND('score card (2)'!D44,"AAAAACO3uzc=")</f>
        <v>#VALUE!</v>
      </c>
      <c r="BE5" t="e">
        <f>AND('score card (2)'!E44,"AAAAACO3uzg=")</f>
        <v>#VALUE!</v>
      </c>
      <c r="BF5" t="e">
        <f>AND('score card (2)'!F44,"AAAAACO3uzk=")</f>
        <v>#VALUE!</v>
      </c>
      <c r="BG5" t="e">
        <f>AND('score card (2)'!G44,"AAAAACO3uzo=")</f>
        <v>#VALUE!</v>
      </c>
      <c r="BH5" t="e">
        <f>AND('score card (2)'!H44,"AAAAACO3uzs=")</f>
        <v>#VALUE!</v>
      </c>
      <c r="BI5" t="e">
        <f>AND('score card (2)'!I44,"AAAAACO3uzw=")</f>
        <v>#VALUE!</v>
      </c>
      <c r="BJ5" t="e">
        <f>AND('score card (2)'!J44,"AAAAACO3uz0=")</f>
        <v>#VALUE!</v>
      </c>
      <c r="BK5" t="e">
        <f>AND('score card (2)'!K44,"AAAAACO3uz4=")</f>
        <v>#VALUE!</v>
      </c>
      <c r="BL5" t="e">
        <f>AND('score card (2)'!L44,"AAAAACO3uz8=")</f>
        <v>#VALUE!</v>
      </c>
      <c r="BM5" t="e">
        <f>AND('score card (2)'!M44,"AAAAACO3u0A=")</f>
        <v>#VALUE!</v>
      </c>
      <c r="BN5" t="e">
        <f>AND('score card (2)'!N44,"AAAAACO3u0E=")</f>
        <v>#VALUE!</v>
      </c>
      <c r="BO5" t="e">
        <f>AND('score card (2)'!O44,"AAAAACO3u0I=")</f>
        <v>#VALUE!</v>
      </c>
      <c r="BP5" t="e">
        <f>AND('score card (2)'!P44,"AAAAACO3u0M=")</f>
        <v>#VALUE!</v>
      </c>
      <c r="BQ5" t="e">
        <f>AND('score card (2)'!Q44,"AAAAACO3u0Q=")</f>
        <v>#VALUE!</v>
      </c>
      <c r="BR5" t="e">
        <f>AND('score card (2)'!R44,"AAAAACO3u0U=")</f>
        <v>#VALUE!</v>
      </c>
      <c r="BS5" t="e">
        <f>AND('score card (2)'!S44,"AAAAACO3u0Y=")</f>
        <v>#VALUE!</v>
      </c>
      <c r="BT5" t="e">
        <f>AND('score card (2)'!T44,"AAAAACO3u0c=")</f>
        <v>#VALUE!</v>
      </c>
      <c r="BU5" t="e">
        <f>AND('score card (2)'!U44,"AAAAACO3u0g=")</f>
        <v>#VALUE!</v>
      </c>
      <c r="BV5" t="e">
        <f>AND('score card (2)'!V44,"AAAAACO3u0k=")</f>
        <v>#VALUE!</v>
      </c>
      <c r="BW5" t="e">
        <f>AND('score card (2)'!W44,"AAAAACO3u0o=")</f>
        <v>#VALUE!</v>
      </c>
      <c r="BX5" t="e">
        <f>AND('score card (2)'!X44,"AAAAACO3u0s=")</f>
        <v>#VALUE!</v>
      </c>
      <c r="BY5">
        <f>IF('score card (2)'!45:45,"AAAAACO3u0w=",0)</f>
        <v>0</v>
      </c>
      <c r="BZ5" t="e">
        <f>AND('score card (2)'!A45,"AAAAACO3u00=")</f>
        <v>#VALUE!</v>
      </c>
      <c r="CA5" t="e">
        <f>AND('score card (2)'!B45,"AAAAACO3u04=")</f>
        <v>#VALUE!</v>
      </c>
      <c r="CB5" t="e">
        <f>AND('score card (2)'!C45,"AAAAACO3u08=")</f>
        <v>#VALUE!</v>
      </c>
      <c r="CC5" t="e">
        <f>AND('score card (2)'!D45,"AAAAACO3u1A=")</f>
        <v>#VALUE!</v>
      </c>
      <c r="CD5" t="e">
        <f>AND('score card (2)'!E45,"AAAAACO3u1E=")</f>
        <v>#VALUE!</v>
      </c>
      <c r="CE5" t="e">
        <f>AND('score card (2)'!F45,"AAAAACO3u1I=")</f>
        <v>#VALUE!</v>
      </c>
      <c r="CF5" t="e">
        <f>AND('score card (2)'!G45,"AAAAACO3u1M=")</f>
        <v>#VALUE!</v>
      </c>
      <c r="CG5" t="e">
        <f>AND('score card (2)'!H45,"AAAAACO3u1Q=")</f>
        <v>#VALUE!</v>
      </c>
      <c r="CH5" t="e">
        <f>AND('score card (2)'!I45,"AAAAACO3u1U=")</f>
        <v>#VALUE!</v>
      </c>
      <c r="CI5" t="e">
        <f>AND('score card (2)'!J45,"AAAAACO3u1Y=")</f>
        <v>#VALUE!</v>
      </c>
      <c r="CJ5" t="e">
        <f>AND('score card (2)'!K45,"AAAAACO3u1c=")</f>
        <v>#VALUE!</v>
      </c>
      <c r="CK5" t="e">
        <f>AND('score card (2)'!L45,"AAAAACO3u1g=")</f>
        <v>#VALUE!</v>
      </c>
      <c r="CL5" t="e">
        <f>AND('score card (2)'!M45,"AAAAACO3u1k=")</f>
        <v>#VALUE!</v>
      </c>
      <c r="CM5" t="e">
        <f>AND('score card (2)'!N45,"AAAAACO3u1o=")</f>
        <v>#VALUE!</v>
      </c>
      <c r="CN5" t="e">
        <f>AND('score card (2)'!O45,"AAAAACO3u1s=")</f>
        <v>#VALUE!</v>
      </c>
      <c r="CO5" t="e">
        <f>AND('score card (2)'!P45,"AAAAACO3u1w=")</f>
        <v>#VALUE!</v>
      </c>
      <c r="CP5" t="e">
        <f>AND('score card (2)'!Q45,"AAAAACO3u10=")</f>
        <v>#VALUE!</v>
      </c>
      <c r="CQ5" t="e">
        <f>AND('score card (2)'!R45,"AAAAACO3u14=")</f>
        <v>#VALUE!</v>
      </c>
      <c r="CR5" t="e">
        <f>AND('score card (2)'!S45,"AAAAACO3u18=")</f>
        <v>#VALUE!</v>
      </c>
      <c r="CS5" t="e">
        <f>AND('score card (2)'!T45,"AAAAACO3u2A=")</f>
        <v>#VALUE!</v>
      </c>
      <c r="CT5" t="e">
        <f>AND('score card (2)'!U45,"AAAAACO3u2E=")</f>
        <v>#VALUE!</v>
      </c>
      <c r="CU5" t="e">
        <f>AND('score card (2)'!V45,"AAAAACO3u2I=")</f>
        <v>#VALUE!</v>
      </c>
      <c r="CV5" t="e">
        <f>AND('score card (2)'!W45,"AAAAACO3u2M=")</f>
        <v>#VALUE!</v>
      </c>
      <c r="CW5" t="e">
        <f>AND('score card (2)'!X45,"AAAAACO3u2Q=")</f>
        <v>#VALUE!</v>
      </c>
      <c r="CX5">
        <f>IF('score card (2)'!46:46,"AAAAACO3u2U=",0)</f>
        <v>0</v>
      </c>
      <c r="CY5" t="e">
        <f>AND('score card (2)'!A46,"AAAAACO3u2Y=")</f>
        <v>#VALUE!</v>
      </c>
      <c r="CZ5" t="e">
        <f>AND('score card (2)'!B46,"AAAAACO3u2c=")</f>
        <v>#VALUE!</v>
      </c>
      <c r="DA5" t="e">
        <f>AND('score card (2)'!C46,"AAAAACO3u2g=")</f>
        <v>#VALUE!</v>
      </c>
      <c r="DB5" t="e">
        <f>AND('score card (2)'!D46,"AAAAACO3u2k=")</f>
        <v>#VALUE!</v>
      </c>
      <c r="DC5" t="e">
        <f>AND('score card (2)'!E46,"AAAAACO3u2o=")</f>
        <v>#VALUE!</v>
      </c>
      <c r="DD5" t="e">
        <f>AND('score card (2)'!F46,"AAAAACO3u2s=")</f>
        <v>#VALUE!</v>
      </c>
      <c r="DE5" t="e">
        <f>AND('score card (2)'!G46,"AAAAACO3u2w=")</f>
        <v>#VALUE!</v>
      </c>
      <c r="DF5" t="e">
        <f>AND('score card (2)'!H46,"AAAAACO3u20=")</f>
        <v>#VALUE!</v>
      </c>
      <c r="DG5" t="e">
        <f>AND('score card (2)'!I46,"AAAAACO3u24=")</f>
        <v>#VALUE!</v>
      </c>
      <c r="DH5" t="e">
        <f>AND('score card (2)'!J46,"AAAAACO3u28=")</f>
        <v>#VALUE!</v>
      </c>
      <c r="DI5" t="e">
        <f>AND('score card (2)'!K46,"AAAAACO3u3A=")</f>
        <v>#VALUE!</v>
      </c>
      <c r="DJ5" t="e">
        <f>AND('score card (2)'!L46,"AAAAACO3u3E=")</f>
        <v>#VALUE!</v>
      </c>
      <c r="DK5" t="e">
        <f>AND('score card (2)'!M46,"AAAAACO3u3I=")</f>
        <v>#VALUE!</v>
      </c>
      <c r="DL5" t="e">
        <f>AND('score card (2)'!N46,"AAAAACO3u3M=")</f>
        <v>#VALUE!</v>
      </c>
      <c r="DM5" t="e">
        <f>AND('score card (2)'!O46,"AAAAACO3u3Q=")</f>
        <v>#VALUE!</v>
      </c>
      <c r="DN5" t="e">
        <f>AND('score card (2)'!P46,"AAAAACO3u3U=")</f>
        <v>#VALUE!</v>
      </c>
      <c r="DO5" t="e">
        <f>AND('score card (2)'!Q46,"AAAAACO3u3Y=")</f>
        <v>#VALUE!</v>
      </c>
      <c r="DP5" t="e">
        <f>AND('score card (2)'!R46,"AAAAACO3u3c=")</f>
        <v>#VALUE!</v>
      </c>
      <c r="DQ5" t="e">
        <f>AND('score card (2)'!S46,"AAAAACO3u3g=")</f>
        <v>#VALUE!</v>
      </c>
      <c r="DR5" t="e">
        <f>AND('score card (2)'!T46,"AAAAACO3u3k=")</f>
        <v>#VALUE!</v>
      </c>
      <c r="DS5" t="e">
        <f>AND('score card (2)'!U46,"AAAAACO3u3o=")</f>
        <v>#VALUE!</v>
      </c>
      <c r="DT5" t="e">
        <f>AND('score card (2)'!V46,"AAAAACO3u3s=")</f>
        <v>#VALUE!</v>
      </c>
      <c r="DU5" t="e">
        <f>AND('score card (2)'!W46,"AAAAACO3u3w=")</f>
        <v>#VALUE!</v>
      </c>
      <c r="DV5" t="e">
        <f>AND('score card (2)'!X46,"AAAAACO3u30=")</f>
        <v>#VALUE!</v>
      </c>
      <c r="DW5">
        <f>IF('score card (2)'!47:47,"AAAAACO3u34=",0)</f>
        <v>0</v>
      </c>
      <c r="DX5" t="e">
        <f>AND('score card (2)'!A47,"AAAAACO3u38=")</f>
        <v>#VALUE!</v>
      </c>
      <c r="DY5" t="e">
        <f>AND('score card (2)'!B47,"AAAAACO3u4A=")</f>
        <v>#VALUE!</v>
      </c>
      <c r="DZ5" t="e">
        <f>AND('score card (2)'!C47,"AAAAACO3u4E=")</f>
        <v>#VALUE!</v>
      </c>
      <c r="EA5" t="e">
        <f>AND('score card (2)'!D47,"AAAAACO3u4I=")</f>
        <v>#VALUE!</v>
      </c>
      <c r="EB5" t="e">
        <f>AND('score card (2)'!E47,"AAAAACO3u4M=")</f>
        <v>#VALUE!</v>
      </c>
      <c r="EC5" t="e">
        <f>AND('score card (2)'!F47,"AAAAACO3u4Q=")</f>
        <v>#VALUE!</v>
      </c>
      <c r="ED5" t="e">
        <f>AND('score card (2)'!G47,"AAAAACO3u4U=")</f>
        <v>#VALUE!</v>
      </c>
      <c r="EE5" t="e">
        <f>AND('score card (2)'!H47,"AAAAACO3u4Y=")</f>
        <v>#VALUE!</v>
      </c>
      <c r="EF5" t="e">
        <f>AND('score card (2)'!I47,"AAAAACO3u4c=")</f>
        <v>#VALUE!</v>
      </c>
      <c r="EG5" t="e">
        <f>AND('score card (2)'!J47,"AAAAACO3u4g=")</f>
        <v>#VALUE!</v>
      </c>
      <c r="EH5" t="e">
        <f>AND('score card (2)'!K47,"AAAAACO3u4k=")</f>
        <v>#VALUE!</v>
      </c>
      <c r="EI5" t="e">
        <f>AND('score card (2)'!L47,"AAAAACO3u4o=")</f>
        <v>#VALUE!</v>
      </c>
      <c r="EJ5" t="e">
        <f>AND('score card (2)'!M47,"AAAAACO3u4s=")</f>
        <v>#VALUE!</v>
      </c>
      <c r="EK5" t="e">
        <f>AND('score card (2)'!N47,"AAAAACO3u4w=")</f>
        <v>#VALUE!</v>
      </c>
      <c r="EL5" t="e">
        <f>AND('score card (2)'!O47,"AAAAACO3u40=")</f>
        <v>#VALUE!</v>
      </c>
      <c r="EM5" t="e">
        <f>AND('score card (2)'!P47,"AAAAACO3u44=")</f>
        <v>#VALUE!</v>
      </c>
      <c r="EN5" t="e">
        <f>AND('score card (2)'!Q47,"AAAAACO3u48=")</f>
        <v>#VALUE!</v>
      </c>
      <c r="EO5" t="e">
        <f>AND('score card (2)'!R47,"AAAAACO3u5A=")</f>
        <v>#VALUE!</v>
      </c>
      <c r="EP5" t="e">
        <f>AND('score card (2)'!S47,"AAAAACO3u5E=")</f>
        <v>#VALUE!</v>
      </c>
      <c r="EQ5" t="e">
        <f>AND('score card (2)'!T47,"AAAAACO3u5I=")</f>
        <v>#VALUE!</v>
      </c>
      <c r="ER5" t="e">
        <f>AND('score card (2)'!U47,"AAAAACO3u5M=")</f>
        <v>#VALUE!</v>
      </c>
      <c r="ES5" t="e">
        <f>AND('score card (2)'!V47,"AAAAACO3u5Q=")</f>
        <v>#VALUE!</v>
      </c>
      <c r="ET5" t="e">
        <f>AND('score card (2)'!W47,"AAAAACO3u5U=")</f>
        <v>#VALUE!</v>
      </c>
      <c r="EU5" t="e">
        <f>AND('score card (2)'!X47,"AAAAACO3u5Y=")</f>
        <v>#VALUE!</v>
      </c>
      <c r="EV5">
        <f>IF('score card (2)'!48:48,"AAAAACO3u5c=",0)</f>
        <v>0</v>
      </c>
      <c r="EW5" t="e">
        <f>AND('score card (2)'!A48,"AAAAACO3u5g=")</f>
        <v>#VALUE!</v>
      </c>
      <c r="EX5" t="e">
        <f>AND('score card (2)'!B48,"AAAAACO3u5k=")</f>
        <v>#VALUE!</v>
      </c>
      <c r="EY5" t="e">
        <f>AND('score card (2)'!C48,"AAAAACO3u5o=")</f>
        <v>#VALUE!</v>
      </c>
      <c r="EZ5" t="e">
        <f>AND('score card (2)'!D48,"AAAAACO3u5s=")</f>
        <v>#VALUE!</v>
      </c>
      <c r="FA5" t="e">
        <f>AND('score card (2)'!E48,"AAAAACO3u5w=")</f>
        <v>#VALUE!</v>
      </c>
      <c r="FB5" t="e">
        <f>AND('score card (2)'!F48,"AAAAACO3u50=")</f>
        <v>#VALUE!</v>
      </c>
      <c r="FC5" t="e">
        <f>AND('score card (2)'!G48,"AAAAACO3u54=")</f>
        <v>#VALUE!</v>
      </c>
      <c r="FD5" t="e">
        <f>AND('score card (2)'!H48,"AAAAACO3u58=")</f>
        <v>#VALUE!</v>
      </c>
      <c r="FE5" t="e">
        <f>AND('score card (2)'!I48,"AAAAACO3u6A=")</f>
        <v>#VALUE!</v>
      </c>
      <c r="FF5" t="e">
        <f>AND('score card (2)'!J48,"AAAAACO3u6E=")</f>
        <v>#VALUE!</v>
      </c>
      <c r="FG5" t="e">
        <f>AND('score card (2)'!K48,"AAAAACO3u6I=")</f>
        <v>#VALUE!</v>
      </c>
      <c r="FH5" t="e">
        <f>AND('score card (2)'!L48,"AAAAACO3u6M=")</f>
        <v>#VALUE!</v>
      </c>
      <c r="FI5" t="e">
        <f>AND('score card (2)'!M48,"AAAAACO3u6Q=")</f>
        <v>#VALUE!</v>
      </c>
      <c r="FJ5" t="e">
        <f>AND('score card (2)'!N48,"AAAAACO3u6U=")</f>
        <v>#VALUE!</v>
      </c>
      <c r="FK5" t="e">
        <f>AND('score card (2)'!O48,"AAAAACO3u6Y=")</f>
        <v>#VALUE!</v>
      </c>
      <c r="FL5" t="e">
        <f>AND('score card (2)'!P48,"AAAAACO3u6c=")</f>
        <v>#VALUE!</v>
      </c>
      <c r="FM5" t="e">
        <f>AND('score card (2)'!Q48,"AAAAACO3u6g=")</f>
        <v>#VALUE!</v>
      </c>
      <c r="FN5" t="e">
        <f>AND('score card (2)'!R48,"AAAAACO3u6k=")</f>
        <v>#VALUE!</v>
      </c>
      <c r="FO5" t="e">
        <f>AND('score card (2)'!S48,"AAAAACO3u6o=")</f>
        <v>#VALUE!</v>
      </c>
      <c r="FP5" t="e">
        <f>AND('score card (2)'!T48,"AAAAACO3u6s=")</f>
        <v>#VALUE!</v>
      </c>
      <c r="FQ5" t="e">
        <f>AND('score card (2)'!U48,"AAAAACO3u6w=")</f>
        <v>#VALUE!</v>
      </c>
      <c r="FR5" t="e">
        <f>AND('score card (2)'!V48,"AAAAACO3u60=")</f>
        <v>#VALUE!</v>
      </c>
      <c r="FS5" t="e">
        <f>AND('score card (2)'!W48,"AAAAACO3u64=")</f>
        <v>#VALUE!</v>
      </c>
      <c r="FT5" t="e">
        <f>AND('score card (2)'!X48,"AAAAACO3u68=")</f>
        <v>#VALUE!</v>
      </c>
      <c r="FU5">
        <f>IF('score card (2)'!49:49,"AAAAACO3u7A=",0)</f>
        <v>0</v>
      </c>
      <c r="FV5" t="e">
        <f>AND('score card (2)'!A49,"AAAAACO3u7E=")</f>
        <v>#VALUE!</v>
      </c>
      <c r="FW5" t="e">
        <f>AND('score card (2)'!B49,"AAAAACO3u7I=")</f>
        <v>#VALUE!</v>
      </c>
      <c r="FX5" t="e">
        <f>AND('score card (2)'!C49,"AAAAACO3u7M=")</f>
        <v>#VALUE!</v>
      </c>
      <c r="FY5" t="e">
        <f>AND('score card (2)'!D49,"AAAAACO3u7Q=")</f>
        <v>#VALUE!</v>
      </c>
      <c r="FZ5" t="e">
        <f>AND('score card (2)'!E49,"AAAAACO3u7U=")</f>
        <v>#VALUE!</v>
      </c>
      <c r="GA5" t="e">
        <f>AND('score card (2)'!F49,"AAAAACO3u7Y=")</f>
        <v>#VALUE!</v>
      </c>
      <c r="GB5" t="e">
        <f>AND('score card (2)'!G49,"AAAAACO3u7c=")</f>
        <v>#VALUE!</v>
      </c>
      <c r="GC5" t="e">
        <f>AND('score card (2)'!H49,"AAAAACO3u7g=")</f>
        <v>#VALUE!</v>
      </c>
      <c r="GD5" t="e">
        <f>AND('score card (2)'!I49,"AAAAACO3u7k=")</f>
        <v>#VALUE!</v>
      </c>
      <c r="GE5" t="e">
        <f>AND('score card (2)'!J49,"AAAAACO3u7o=")</f>
        <v>#VALUE!</v>
      </c>
      <c r="GF5" t="e">
        <f>AND('score card (2)'!K49,"AAAAACO3u7s=")</f>
        <v>#VALUE!</v>
      </c>
      <c r="GG5" t="e">
        <f>AND('score card (2)'!L49,"AAAAACO3u7w=")</f>
        <v>#VALUE!</v>
      </c>
      <c r="GH5" t="e">
        <f>AND('score card (2)'!M49,"AAAAACO3u70=")</f>
        <v>#VALUE!</v>
      </c>
      <c r="GI5" t="e">
        <f>AND('score card (2)'!N49,"AAAAACO3u74=")</f>
        <v>#VALUE!</v>
      </c>
      <c r="GJ5" t="e">
        <f>AND('score card (2)'!O49,"AAAAACO3u78=")</f>
        <v>#VALUE!</v>
      </c>
      <c r="GK5" t="e">
        <f>AND('score card (2)'!P49,"AAAAACO3u8A=")</f>
        <v>#VALUE!</v>
      </c>
      <c r="GL5" t="e">
        <f>AND('score card (2)'!Q49,"AAAAACO3u8E=")</f>
        <v>#VALUE!</v>
      </c>
      <c r="GM5" t="e">
        <f>AND('score card (2)'!R49,"AAAAACO3u8I=")</f>
        <v>#VALUE!</v>
      </c>
      <c r="GN5" t="e">
        <f>AND('score card (2)'!S49,"AAAAACO3u8M=")</f>
        <v>#VALUE!</v>
      </c>
      <c r="GO5" t="e">
        <f>AND('score card (2)'!T49,"AAAAACO3u8Q=")</f>
        <v>#VALUE!</v>
      </c>
      <c r="GP5" t="e">
        <f>AND('score card (2)'!U49,"AAAAACO3u8U=")</f>
        <v>#VALUE!</v>
      </c>
      <c r="GQ5" t="e">
        <f>AND('score card (2)'!V49,"AAAAACO3u8Y=")</f>
        <v>#VALUE!</v>
      </c>
      <c r="GR5" t="e">
        <f>AND('score card (2)'!W49,"AAAAACO3u8c=")</f>
        <v>#VALUE!</v>
      </c>
      <c r="GS5" t="e">
        <f>AND('score card (2)'!X49,"AAAAACO3u8g=")</f>
        <v>#VALUE!</v>
      </c>
      <c r="GT5">
        <f>IF('score card (2)'!50:50,"AAAAACO3u8k=",0)</f>
        <v>0</v>
      </c>
      <c r="GU5" t="e">
        <f>AND('score card (2)'!A50,"AAAAACO3u8o=")</f>
        <v>#VALUE!</v>
      </c>
      <c r="GV5" t="e">
        <f>AND('score card (2)'!B50,"AAAAACO3u8s=")</f>
        <v>#VALUE!</v>
      </c>
      <c r="GW5" t="e">
        <f>AND('score card (2)'!C50,"AAAAACO3u8w=")</f>
        <v>#VALUE!</v>
      </c>
      <c r="GX5" t="e">
        <f>AND('score card (2)'!D50,"AAAAACO3u80=")</f>
        <v>#VALUE!</v>
      </c>
      <c r="GY5" t="e">
        <f>AND('score card (2)'!E50,"AAAAACO3u84=")</f>
        <v>#VALUE!</v>
      </c>
      <c r="GZ5" t="e">
        <f>AND('score card (2)'!F50,"AAAAACO3u88=")</f>
        <v>#VALUE!</v>
      </c>
      <c r="HA5" t="e">
        <f>AND('score card (2)'!G50,"AAAAACO3u9A=")</f>
        <v>#VALUE!</v>
      </c>
      <c r="HB5" t="e">
        <f>AND('score card (2)'!H50,"AAAAACO3u9E=")</f>
        <v>#VALUE!</v>
      </c>
      <c r="HC5" t="e">
        <f>AND('score card (2)'!I50,"AAAAACO3u9I=")</f>
        <v>#VALUE!</v>
      </c>
      <c r="HD5" t="e">
        <f>AND('score card (2)'!J50,"AAAAACO3u9M=")</f>
        <v>#VALUE!</v>
      </c>
      <c r="HE5" t="e">
        <f>AND('score card (2)'!K50,"AAAAACO3u9Q=")</f>
        <v>#VALUE!</v>
      </c>
      <c r="HF5" t="e">
        <f>AND('score card (2)'!L50,"AAAAACO3u9U=")</f>
        <v>#VALUE!</v>
      </c>
      <c r="HG5" t="e">
        <f>AND('score card (2)'!M50,"AAAAACO3u9Y=")</f>
        <v>#VALUE!</v>
      </c>
      <c r="HH5" t="e">
        <f>AND('score card (2)'!N50,"AAAAACO3u9c=")</f>
        <v>#VALUE!</v>
      </c>
      <c r="HI5" t="e">
        <f>AND('score card (2)'!O50,"AAAAACO3u9g=")</f>
        <v>#VALUE!</v>
      </c>
      <c r="HJ5" t="e">
        <f>AND('score card (2)'!P50,"AAAAACO3u9k=")</f>
        <v>#VALUE!</v>
      </c>
      <c r="HK5" t="e">
        <f>AND('score card (2)'!Q50,"AAAAACO3u9o=")</f>
        <v>#VALUE!</v>
      </c>
      <c r="HL5" t="e">
        <f>AND('score card (2)'!R50,"AAAAACO3u9s=")</f>
        <v>#VALUE!</v>
      </c>
      <c r="HM5" t="e">
        <f>AND('score card (2)'!S50,"AAAAACO3u9w=")</f>
        <v>#VALUE!</v>
      </c>
      <c r="HN5" t="e">
        <f>AND('score card (2)'!T50,"AAAAACO3u90=")</f>
        <v>#VALUE!</v>
      </c>
      <c r="HO5" t="e">
        <f>AND('score card (2)'!U50,"AAAAACO3u94=")</f>
        <v>#VALUE!</v>
      </c>
      <c r="HP5" t="e">
        <f>AND('score card (2)'!V50,"AAAAACO3u98=")</f>
        <v>#VALUE!</v>
      </c>
      <c r="HQ5" t="e">
        <f>AND('score card (2)'!W50,"AAAAACO3u+A=")</f>
        <v>#VALUE!</v>
      </c>
      <c r="HR5" t="e">
        <f>AND('score card (2)'!X50,"AAAAACO3u+E=")</f>
        <v>#VALUE!</v>
      </c>
      <c r="HS5">
        <f>IF('score card (2)'!51:51,"AAAAACO3u+I=",0)</f>
        <v>0</v>
      </c>
      <c r="HT5" t="e">
        <f>AND('score card (2)'!A51,"AAAAACO3u+M=")</f>
        <v>#VALUE!</v>
      </c>
      <c r="HU5" t="e">
        <f>AND('score card (2)'!B51,"AAAAACO3u+Q=")</f>
        <v>#VALUE!</v>
      </c>
      <c r="HV5" t="e">
        <f>AND('score card (2)'!C51,"AAAAACO3u+U=")</f>
        <v>#VALUE!</v>
      </c>
      <c r="HW5" t="e">
        <f>AND('score card (2)'!D51,"AAAAACO3u+Y=")</f>
        <v>#VALUE!</v>
      </c>
      <c r="HX5" t="e">
        <f>AND('score card (2)'!E51,"AAAAACO3u+c=")</f>
        <v>#VALUE!</v>
      </c>
      <c r="HY5" t="e">
        <f>AND('score card (2)'!F51,"AAAAACO3u+g=")</f>
        <v>#VALUE!</v>
      </c>
      <c r="HZ5" t="e">
        <f>AND('score card (2)'!G51,"AAAAACO3u+k=")</f>
        <v>#VALUE!</v>
      </c>
      <c r="IA5" t="e">
        <f>AND('score card (2)'!H51,"AAAAACO3u+o=")</f>
        <v>#VALUE!</v>
      </c>
      <c r="IB5" t="e">
        <f>AND('score card (2)'!I51,"AAAAACO3u+s=")</f>
        <v>#VALUE!</v>
      </c>
      <c r="IC5" t="e">
        <f>AND('score card (2)'!J51,"AAAAACO3u+w=")</f>
        <v>#VALUE!</v>
      </c>
      <c r="ID5" t="e">
        <f>AND('score card (2)'!K51,"AAAAACO3u+0=")</f>
        <v>#VALUE!</v>
      </c>
      <c r="IE5" t="e">
        <f>AND('score card (2)'!L51,"AAAAACO3u+4=")</f>
        <v>#VALUE!</v>
      </c>
      <c r="IF5" t="e">
        <f>AND('score card (2)'!M51,"AAAAACO3u+8=")</f>
        <v>#VALUE!</v>
      </c>
      <c r="IG5" t="e">
        <f>AND('score card (2)'!N51,"AAAAACO3u/A=")</f>
        <v>#VALUE!</v>
      </c>
      <c r="IH5" t="e">
        <f>AND('score card (2)'!O51,"AAAAACO3u/E=")</f>
        <v>#VALUE!</v>
      </c>
      <c r="II5" t="e">
        <f>AND('score card (2)'!P51,"AAAAACO3u/I=")</f>
        <v>#VALUE!</v>
      </c>
      <c r="IJ5" t="e">
        <f>AND('score card (2)'!Q51,"AAAAACO3u/M=")</f>
        <v>#VALUE!</v>
      </c>
      <c r="IK5" t="e">
        <f>AND('score card (2)'!R51,"AAAAACO3u/Q=")</f>
        <v>#VALUE!</v>
      </c>
      <c r="IL5" t="e">
        <f>AND('score card (2)'!S51,"AAAAACO3u/U=")</f>
        <v>#VALUE!</v>
      </c>
      <c r="IM5" t="e">
        <f>AND('score card (2)'!T51,"AAAAACO3u/Y=")</f>
        <v>#VALUE!</v>
      </c>
      <c r="IN5" t="e">
        <f>AND('score card (2)'!U51,"AAAAACO3u/c=")</f>
        <v>#VALUE!</v>
      </c>
      <c r="IO5" t="e">
        <f>AND('score card (2)'!V51,"AAAAACO3u/g=")</f>
        <v>#VALUE!</v>
      </c>
      <c r="IP5" t="e">
        <f>AND('score card (2)'!W51,"AAAAACO3u/k=")</f>
        <v>#VALUE!</v>
      </c>
      <c r="IQ5" t="e">
        <f>AND('score card (2)'!X51,"AAAAACO3u/o=")</f>
        <v>#VALUE!</v>
      </c>
      <c r="IR5">
        <f>IF('score card (2)'!52:52,"AAAAACO3u/s=",0)</f>
        <v>0</v>
      </c>
      <c r="IS5" t="e">
        <f>AND('score card (2)'!A52,"AAAAACO3u/w=")</f>
        <v>#VALUE!</v>
      </c>
      <c r="IT5" t="e">
        <f>AND('score card (2)'!B52,"AAAAACO3u/0=")</f>
        <v>#VALUE!</v>
      </c>
      <c r="IU5" t="e">
        <f>AND('score card (2)'!C52,"AAAAACO3u/4=")</f>
        <v>#VALUE!</v>
      </c>
      <c r="IV5" t="e">
        <f>AND('score card (2)'!D52,"AAAAACO3u/8=")</f>
        <v>#VALUE!</v>
      </c>
    </row>
    <row r="6" spans="1:256" ht="12.75">
      <c r="A6" t="e">
        <f>AND('score card (2)'!E52,"AAAAAFXt9gA=")</f>
        <v>#VALUE!</v>
      </c>
      <c r="B6" t="e">
        <f>AND('score card (2)'!F52,"AAAAAFXt9gE=")</f>
        <v>#VALUE!</v>
      </c>
      <c r="C6" t="e">
        <f>AND('score card (2)'!G52,"AAAAAFXt9gI=")</f>
        <v>#VALUE!</v>
      </c>
      <c r="D6" t="e">
        <f>AND('score card (2)'!H52,"AAAAAFXt9gM=")</f>
        <v>#VALUE!</v>
      </c>
      <c r="E6" t="e">
        <f>AND('score card (2)'!I52,"AAAAAFXt9gQ=")</f>
        <v>#VALUE!</v>
      </c>
      <c r="F6" t="e">
        <f>AND('score card (2)'!J52,"AAAAAFXt9gU=")</f>
        <v>#VALUE!</v>
      </c>
      <c r="G6" t="e">
        <f>AND('score card (2)'!K52,"AAAAAFXt9gY=")</f>
        <v>#VALUE!</v>
      </c>
      <c r="H6" t="e">
        <f>AND('score card (2)'!L52,"AAAAAFXt9gc=")</f>
        <v>#VALUE!</v>
      </c>
      <c r="I6" t="e">
        <f>AND('score card (2)'!M52,"AAAAAFXt9gg=")</f>
        <v>#VALUE!</v>
      </c>
      <c r="J6" t="e">
        <f>AND('score card (2)'!N52,"AAAAAFXt9gk=")</f>
        <v>#VALUE!</v>
      </c>
      <c r="K6" t="e">
        <f>AND('score card (2)'!O52,"AAAAAFXt9go=")</f>
        <v>#VALUE!</v>
      </c>
      <c r="L6" t="e">
        <f>AND('score card (2)'!P52,"AAAAAFXt9gs=")</f>
        <v>#VALUE!</v>
      </c>
      <c r="M6" t="e">
        <f>AND('score card (2)'!Q52,"AAAAAFXt9gw=")</f>
        <v>#VALUE!</v>
      </c>
      <c r="N6" t="e">
        <f>AND('score card (2)'!R52,"AAAAAFXt9g0=")</f>
        <v>#VALUE!</v>
      </c>
      <c r="O6" t="e">
        <f>AND('score card (2)'!S52,"AAAAAFXt9g4=")</f>
        <v>#VALUE!</v>
      </c>
      <c r="P6" t="e">
        <f>AND('score card (2)'!T52,"AAAAAFXt9g8=")</f>
        <v>#VALUE!</v>
      </c>
      <c r="Q6" t="e">
        <f>AND('score card (2)'!U52,"AAAAAFXt9hA=")</f>
        <v>#VALUE!</v>
      </c>
      <c r="R6" t="e">
        <f>AND('score card (2)'!V52,"AAAAAFXt9hE=")</f>
        <v>#VALUE!</v>
      </c>
      <c r="S6" t="e">
        <f>AND('score card (2)'!W52,"AAAAAFXt9hI=")</f>
        <v>#VALUE!</v>
      </c>
      <c r="T6" t="e">
        <f>AND('score card (2)'!X52,"AAAAAFXt9hM=")</f>
        <v>#VALUE!</v>
      </c>
      <c r="U6">
        <f>IF('score card (2)'!53:53,"AAAAAFXt9hQ=",0)</f>
        <v>0</v>
      </c>
      <c r="V6" t="e">
        <f>AND('score card (2)'!A53,"AAAAAFXt9hU=")</f>
        <v>#VALUE!</v>
      </c>
      <c r="W6" t="e">
        <f>AND('score card (2)'!B53,"AAAAAFXt9hY=")</f>
        <v>#VALUE!</v>
      </c>
      <c r="X6" t="e">
        <f>AND('score card (2)'!C53,"AAAAAFXt9hc=")</f>
        <v>#VALUE!</v>
      </c>
      <c r="Y6" t="e">
        <f>AND('score card (2)'!D53,"AAAAAFXt9hg=")</f>
        <v>#VALUE!</v>
      </c>
      <c r="Z6" t="e">
        <f>AND('score card (2)'!E53,"AAAAAFXt9hk=")</f>
        <v>#VALUE!</v>
      </c>
      <c r="AA6" t="e">
        <f>AND('score card (2)'!F53,"AAAAAFXt9ho=")</f>
        <v>#VALUE!</v>
      </c>
      <c r="AB6" t="e">
        <f>AND('score card (2)'!G53,"AAAAAFXt9hs=")</f>
        <v>#VALUE!</v>
      </c>
      <c r="AC6" t="e">
        <f>AND('score card (2)'!H53,"AAAAAFXt9hw=")</f>
        <v>#VALUE!</v>
      </c>
      <c r="AD6" t="e">
        <f>AND('score card (2)'!I53,"AAAAAFXt9h0=")</f>
        <v>#VALUE!</v>
      </c>
      <c r="AE6" t="e">
        <f>AND('score card (2)'!J53,"AAAAAFXt9h4=")</f>
        <v>#VALUE!</v>
      </c>
      <c r="AF6" t="e">
        <f>AND('score card (2)'!K53,"AAAAAFXt9h8=")</f>
        <v>#VALUE!</v>
      </c>
      <c r="AG6" t="e">
        <f>AND('score card (2)'!L53,"AAAAAFXt9iA=")</f>
        <v>#VALUE!</v>
      </c>
      <c r="AH6" t="e">
        <f>AND('score card (2)'!M53,"AAAAAFXt9iE=")</f>
        <v>#VALUE!</v>
      </c>
      <c r="AI6" t="e">
        <f>AND('score card (2)'!N53,"AAAAAFXt9iI=")</f>
        <v>#VALUE!</v>
      </c>
      <c r="AJ6" t="e">
        <f>AND('score card (2)'!O53,"AAAAAFXt9iM=")</f>
        <v>#VALUE!</v>
      </c>
      <c r="AK6" t="e">
        <f>AND('score card (2)'!P53,"AAAAAFXt9iQ=")</f>
        <v>#VALUE!</v>
      </c>
      <c r="AL6" t="e">
        <f>AND('score card (2)'!Q53,"AAAAAFXt9iU=")</f>
        <v>#VALUE!</v>
      </c>
      <c r="AM6" t="e">
        <f>AND('score card (2)'!R53,"AAAAAFXt9iY=")</f>
        <v>#VALUE!</v>
      </c>
      <c r="AN6" t="e">
        <f>AND('score card (2)'!S53,"AAAAAFXt9ic=")</f>
        <v>#VALUE!</v>
      </c>
      <c r="AO6" t="e">
        <f>AND('score card (2)'!T53,"AAAAAFXt9ig=")</f>
        <v>#VALUE!</v>
      </c>
      <c r="AP6" t="e">
        <f>AND('score card (2)'!U53,"AAAAAFXt9ik=")</f>
        <v>#VALUE!</v>
      </c>
      <c r="AQ6" t="e">
        <f>AND('score card (2)'!V53,"AAAAAFXt9io=")</f>
        <v>#VALUE!</v>
      </c>
      <c r="AR6" t="e">
        <f>AND('score card (2)'!W53,"AAAAAFXt9is=")</f>
        <v>#VALUE!</v>
      </c>
      <c r="AS6" t="e">
        <f>AND('score card (2)'!X53,"AAAAAFXt9iw=")</f>
        <v>#VALUE!</v>
      </c>
      <c r="AT6">
        <f>IF('score card (2)'!54:54,"AAAAAFXt9i0=",0)</f>
        <v>0</v>
      </c>
      <c r="AU6" t="e">
        <f>AND('score card (2)'!A54,"AAAAAFXt9i4=")</f>
        <v>#VALUE!</v>
      </c>
      <c r="AV6" t="e">
        <f>AND('score card (2)'!B54,"AAAAAFXt9i8=")</f>
        <v>#VALUE!</v>
      </c>
      <c r="AW6" t="e">
        <f>AND('score card (2)'!C54,"AAAAAFXt9jA=")</f>
        <v>#VALUE!</v>
      </c>
      <c r="AX6" t="e">
        <f>AND('score card (2)'!D54,"AAAAAFXt9jE=")</f>
        <v>#VALUE!</v>
      </c>
      <c r="AY6" t="e">
        <f>AND('score card (2)'!E54,"AAAAAFXt9jI=")</f>
        <v>#VALUE!</v>
      </c>
      <c r="AZ6" t="e">
        <f>AND('score card (2)'!F54,"AAAAAFXt9jM=")</f>
        <v>#VALUE!</v>
      </c>
      <c r="BA6" t="e">
        <f>AND('score card (2)'!G54,"AAAAAFXt9jQ=")</f>
        <v>#VALUE!</v>
      </c>
      <c r="BB6" t="e">
        <f>AND('score card (2)'!H54,"AAAAAFXt9jU=")</f>
        <v>#VALUE!</v>
      </c>
      <c r="BC6" t="e">
        <f>AND('score card (2)'!I54,"AAAAAFXt9jY=")</f>
        <v>#VALUE!</v>
      </c>
      <c r="BD6" t="e">
        <f>AND('score card (2)'!J54,"AAAAAFXt9jc=")</f>
        <v>#VALUE!</v>
      </c>
      <c r="BE6" t="e">
        <f>AND('score card (2)'!K54,"AAAAAFXt9jg=")</f>
        <v>#VALUE!</v>
      </c>
      <c r="BF6" t="e">
        <f>AND('score card (2)'!L54,"AAAAAFXt9jk=")</f>
        <v>#VALUE!</v>
      </c>
      <c r="BG6" t="e">
        <f>AND('score card (2)'!M54,"AAAAAFXt9jo=")</f>
        <v>#VALUE!</v>
      </c>
      <c r="BH6" t="e">
        <f>AND('score card (2)'!N54,"AAAAAFXt9js=")</f>
        <v>#VALUE!</v>
      </c>
      <c r="BI6" t="e">
        <f>AND('score card (2)'!O54,"AAAAAFXt9jw=")</f>
        <v>#VALUE!</v>
      </c>
      <c r="BJ6" t="e">
        <f>AND('score card (2)'!P54,"AAAAAFXt9j0=")</f>
        <v>#VALUE!</v>
      </c>
      <c r="BK6" t="e">
        <f>AND('score card (2)'!Q54,"AAAAAFXt9j4=")</f>
        <v>#VALUE!</v>
      </c>
      <c r="BL6" t="e">
        <f>AND('score card (2)'!R54,"AAAAAFXt9j8=")</f>
        <v>#VALUE!</v>
      </c>
      <c r="BM6" t="e">
        <f>AND('score card (2)'!S54,"AAAAAFXt9kA=")</f>
        <v>#VALUE!</v>
      </c>
      <c r="BN6" t="e">
        <f>AND('score card (2)'!T54,"AAAAAFXt9kE=")</f>
        <v>#VALUE!</v>
      </c>
      <c r="BO6" t="e">
        <f>AND('score card (2)'!U54,"AAAAAFXt9kI=")</f>
        <v>#VALUE!</v>
      </c>
      <c r="BP6" t="e">
        <f>AND('score card (2)'!V54,"AAAAAFXt9kM=")</f>
        <v>#VALUE!</v>
      </c>
      <c r="BQ6" t="e">
        <f>AND('score card (2)'!W54,"AAAAAFXt9kQ=")</f>
        <v>#VALUE!</v>
      </c>
      <c r="BR6" t="e">
        <f>AND('score card (2)'!X54,"AAAAAFXt9kU=")</f>
        <v>#VALUE!</v>
      </c>
      <c r="BS6">
        <f>IF('score card (2)'!55:55,"AAAAAFXt9kY=",0)</f>
        <v>0</v>
      </c>
      <c r="BT6" t="e">
        <f>AND('score card (2)'!A55,"AAAAAFXt9kc=")</f>
        <v>#VALUE!</v>
      </c>
      <c r="BU6" t="e">
        <f>AND('score card (2)'!B55,"AAAAAFXt9kg=")</f>
        <v>#VALUE!</v>
      </c>
      <c r="BV6" t="e">
        <f>AND('score card (2)'!C55,"AAAAAFXt9kk=")</f>
        <v>#VALUE!</v>
      </c>
      <c r="BW6" t="e">
        <f>AND('score card (2)'!D55,"AAAAAFXt9ko=")</f>
        <v>#VALUE!</v>
      </c>
      <c r="BX6" t="e">
        <f>AND('score card (2)'!E55,"AAAAAFXt9ks=")</f>
        <v>#VALUE!</v>
      </c>
      <c r="BY6" t="e">
        <f>AND('score card (2)'!F55,"AAAAAFXt9kw=")</f>
        <v>#VALUE!</v>
      </c>
      <c r="BZ6" t="e">
        <f>AND('score card (2)'!G55,"AAAAAFXt9k0=")</f>
        <v>#VALUE!</v>
      </c>
      <c r="CA6" t="e">
        <f>AND('score card (2)'!H55,"AAAAAFXt9k4=")</f>
        <v>#VALUE!</v>
      </c>
      <c r="CB6" t="e">
        <f>AND('score card (2)'!I55,"AAAAAFXt9k8=")</f>
        <v>#VALUE!</v>
      </c>
      <c r="CC6" t="e">
        <f>AND('score card (2)'!J55,"AAAAAFXt9lA=")</f>
        <v>#VALUE!</v>
      </c>
      <c r="CD6" t="e">
        <f>AND('score card (2)'!K55,"AAAAAFXt9lE=")</f>
        <v>#VALUE!</v>
      </c>
      <c r="CE6" t="e">
        <f>AND('score card (2)'!L55,"AAAAAFXt9lI=")</f>
        <v>#VALUE!</v>
      </c>
      <c r="CF6" t="e">
        <f>AND('score card (2)'!M55,"AAAAAFXt9lM=")</f>
        <v>#VALUE!</v>
      </c>
      <c r="CG6" t="e">
        <f>AND('score card (2)'!N55,"AAAAAFXt9lQ=")</f>
        <v>#VALUE!</v>
      </c>
      <c r="CH6" t="e">
        <f>AND('score card (2)'!O55,"AAAAAFXt9lU=")</f>
        <v>#VALUE!</v>
      </c>
      <c r="CI6" t="e">
        <f>AND('score card (2)'!P55,"AAAAAFXt9lY=")</f>
        <v>#VALUE!</v>
      </c>
      <c r="CJ6" t="e">
        <f>AND('score card (2)'!Q55,"AAAAAFXt9lc=")</f>
        <v>#VALUE!</v>
      </c>
      <c r="CK6" t="e">
        <f>AND('score card (2)'!R55,"AAAAAFXt9lg=")</f>
        <v>#VALUE!</v>
      </c>
      <c r="CL6" t="e">
        <f>AND('score card (2)'!S55,"AAAAAFXt9lk=")</f>
        <v>#VALUE!</v>
      </c>
      <c r="CM6" t="e">
        <f>AND('score card (2)'!T55,"AAAAAFXt9lo=")</f>
        <v>#VALUE!</v>
      </c>
      <c r="CN6" t="e">
        <f>AND('score card (2)'!U55,"AAAAAFXt9ls=")</f>
        <v>#VALUE!</v>
      </c>
      <c r="CO6" t="e">
        <f>AND('score card (2)'!V55,"AAAAAFXt9lw=")</f>
        <v>#VALUE!</v>
      </c>
      <c r="CP6" t="e">
        <f>AND('score card (2)'!W55,"AAAAAFXt9l0=")</f>
        <v>#VALUE!</v>
      </c>
      <c r="CQ6" t="e">
        <f>AND('score card (2)'!X55,"AAAAAFXt9l4=")</f>
        <v>#VALUE!</v>
      </c>
      <c r="CR6">
        <f>IF('score card (2)'!56:56,"AAAAAFXt9l8=",0)</f>
        <v>0</v>
      </c>
      <c r="CS6" t="e">
        <f>AND('score card (2)'!A56,"AAAAAFXt9mA=")</f>
        <v>#VALUE!</v>
      </c>
      <c r="CT6" t="e">
        <f>AND('score card (2)'!B56,"AAAAAFXt9mE=")</f>
        <v>#VALUE!</v>
      </c>
      <c r="CU6" t="e">
        <f>AND('score card (2)'!C56,"AAAAAFXt9mI=")</f>
        <v>#VALUE!</v>
      </c>
      <c r="CV6" t="e">
        <f>AND('score card (2)'!D56,"AAAAAFXt9mM=")</f>
        <v>#VALUE!</v>
      </c>
      <c r="CW6" t="e">
        <f>AND('score card (2)'!E56,"AAAAAFXt9mQ=")</f>
        <v>#VALUE!</v>
      </c>
      <c r="CX6" t="e">
        <f>AND('score card (2)'!F56,"AAAAAFXt9mU=")</f>
        <v>#VALUE!</v>
      </c>
      <c r="CY6" t="e">
        <f>AND('score card (2)'!G56,"AAAAAFXt9mY=")</f>
        <v>#VALUE!</v>
      </c>
      <c r="CZ6" t="e">
        <f>AND('score card (2)'!H56,"AAAAAFXt9mc=")</f>
        <v>#VALUE!</v>
      </c>
      <c r="DA6" t="e">
        <f>AND('score card (2)'!I56,"AAAAAFXt9mg=")</f>
        <v>#VALUE!</v>
      </c>
      <c r="DB6" t="e">
        <f>AND('score card (2)'!J56,"AAAAAFXt9mk=")</f>
        <v>#VALUE!</v>
      </c>
      <c r="DC6" t="e">
        <f>AND('score card (2)'!K56,"AAAAAFXt9mo=")</f>
        <v>#VALUE!</v>
      </c>
      <c r="DD6" t="e">
        <f>AND('score card (2)'!L56,"AAAAAFXt9ms=")</f>
        <v>#VALUE!</v>
      </c>
      <c r="DE6" t="e">
        <f>AND('score card (2)'!M56,"AAAAAFXt9mw=")</f>
        <v>#VALUE!</v>
      </c>
      <c r="DF6" t="e">
        <f>AND('score card (2)'!N56,"AAAAAFXt9m0=")</f>
        <v>#VALUE!</v>
      </c>
      <c r="DG6" t="e">
        <f>AND('score card (2)'!O56,"AAAAAFXt9m4=")</f>
        <v>#VALUE!</v>
      </c>
      <c r="DH6" t="e">
        <f>AND('score card (2)'!P56,"AAAAAFXt9m8=")</f>
        <v>#VALUE!</v>
      </c>
      <c r="DI6" t="e">
        <f>AND('score card (2)'!Q56,"AAAAAFXt9nA=")</f>
        <v>#VALUE!</v>
      </c>
      <c r="DJ6" t="e">
        <f>AND('score card (2)'!R56,"AAAAAFXt9nE=")</f>
        <v>#VALUE!</v>
      </c>
      <c r="DK6" t="e">
        <f>AND('score card (2)'!S56,"AAAAAFXt9nI=")</f>
        <v>#VALUE!</v>
      </c>
      <c r="DL6" t="e">
        <f>AND('score card (2)'!T56,"AAAAAFXt9nM=")</f>
        <v>#VALUE!</v>
      </c>
      <c r="DM6" t="e">
        <f>AND('score card (2)'!U56,"AAAAAFXt9nQ=")</f>
        <v>#VALUE!</v>
      </c>
      <c r="DN6" t="e">
        <f>AND('score card (2)'!V56,"AAAAAFXt9nU=")</f>
        <v>#VALUE!</v>
      </c>
      <c r="DO6" t="e">
        <f>AND('score card (2)'!W56,"AAAAAFXt9nY=")</f>
        <v>#VALUE!</v>
      </c>
      <c r="DP6" t="e">
        <f>AND('score card (2)'!X56,"AAAAAFXt9nc=")</f>
        <v>#VALUE!</v>
      </c>
      <c r="DQ6">
        <f>IF('score card (2)'!57:57,"AAAAAFXt9ng=",0)</f>
        <v>0</v>
      </c>
      <c r="DR6" t="e">
        <f>AND('score card (2)'!A57,"AAAAAFXt9nk=")</f>
        <v>#VALUE!</v>
      </c>
      <c r="DS6" t="e">
        <f>AND('score card (2)'!B57,"AAAAAFXt9no=")</f>
        <v>#VALUE!</v>
      </c>
      <c r="DT6" t="e">
        <f>AND('score card (2)'!C57,"AAAAAFXt9ns=")</f>
        <v>#VALUE!</v>
      </c>
      <c r="DU6" t="e">
        <f>AND('score card (2)'!D57,"AAAAAFXt9nw=")</f>
        <v>#VALUE!</v>
      </c>
      <c r="DV6" t="e">
        <f>AND('score card (2)'!E57,"AAAAAFXt9n0=")</f>
        <v>#VALUE!</v>
      </c>
      <c r="DW6" t="e">
        <f>AND('score card (2)'!F57,"AAAAAFXt9n4=")</f>
        <v>#VALUE!</v>
      </c>
      <c r="DX6" t="e">
        <f>AND('score card (2)'!G57,"AAAAAFXt9n8=")</f>
        <v>#VALUE!</v>
      </c>
      <c r="DY6" t="e">
        <f>AND('score card (2)'!H57,"AAAAAFXt9oA=")</f>
        <v>#VALUE!</v>
      </c>
      <c r="DZ6" t="e">
        <f>AND('score card (2)'!I57,"AAAAAFXt9oE=")</f>
        <v>#VALUE!</v>
      </c>
      <c r="EA6" t="e">
        <f>AND('score card (2)'!J57,"AAAAAFXt9oI=")</f>
        <v>#VALUE!</v>
      </c>
      <c r="EB6" t="e">
        <f>AND('score card (2)'!K57,"AAAAAFXt9oM=")</f>
        <v>#VALUE!</v>
      </c>
      <c r="EC6" t="e">
        <f>AND('score card (2)'!L57,"AAAAAFXt9oQ=")</f>
        <v>#VALUE!</v>
      </c>
      <c r="ED6" t="e">
        <f>AND('score card (2)'!M57,"AAAAAFXt9oU=")</f>
        <v>#VALUE!</v>
      </c>
      <c r="EE6" t="e">
        <f>AND('score card (2)'!N57,"AAAAAFXt9oY=")</f>
        <v>#VALUE!</v>
      </c>
      <c r="EF6" t="e">
        <f>AND('score card (2)'!O57,"AAAAAFXt9oc=")</f>
        <v>#VALUE!</v>
      </c>
      <c r="EG6" t="e">
        <f>AND('score card (2)'!P57,"AAAAAFXt9og=")</f>
        <v>#VALUE!</v>
      </c>
      <c r="EH6" t="e">
        <f>AND('score card (2)'!Q57,"AAAAAFXt9ok=")</f>
        <v>#VALUE!</v>
      </c>
      <c r="EI6" t="e">
        <f>AND('score card (2)'!R57,"AAAAAFXt9oo=")</f>
        <v>#VALUE!</v>
      </c>
      <c r="EJ6" t="e">
        <f>AND('score card (2)'!S57,"AAAAAFXt9os=")</f>
        <v>#VALUE!</v>
      </c>
      <c r="EK6" t="e">
        <f>AND('score card (2)'!T57,"AAAAAFXt9ow=")</f>
        <v>#VALUE!</v>
      </c>
      <c r="EL6" t="e">
        <f>AND('score card (2)'!U57,"AAAAAFXt9o0=")</f>
        <v>#VALUE!</v>
      </c>
      <c r="EM6" t="e">
        <f>AND('score card (2)'!V57,"AAAAAFXt9o4=")</f>
        <v>#VALUE!</v>
      </c>
      <c r="EN6" t="e">
        <f>AND('score card (2)'!W57,"AAAAAFXt9o8=")</f>
        <v>#VALUE!</v>
      </c>
      <c r="EO6" t="e">
        <f>AND('score card (2)'!X57,"AAAAAFXt9pA=")</f>
        <v>#VALUE!</v>
      </c>
      <c r="EP6">
        <f>IF('score card (2)'!58:58,"AAAAAFXt9pE=",0)</f>
        <v>0</v>
      </c>
      <c r="EQ6" t="e">
        <f>AND('score card (2)'!A58,"AAAAAFXt9pI=")</f>
        <v>#VALUE!</v>
      </c>
      <c r="ER6" t="e">
        <f>AND('score card (2)'!B58,"AAAAAFXt9pM=")</f>
        <v>#VALUE!</v>
      </c>
      <c r="ES6" t="e">
        <f>AND('score card (2)'!C58,"AAAAAFXt9pQ=")</f>
        <v>#VALUE!</v>
      </c>
      <c r="ET6" t="e">
        <f>AND('score card (2)'!D58,"AAAAAFXt9pU=")</f>
        <v>#VALUE!</v>
      </c>
      <c r="EU6" t="e">
        <f>AND('score card (2)'!E58,"AAAAAFXt9pY=")</f>
        <v>#VALUE!</v>
      </c>
      <c r="EV6" t="e">
        <f>AND('score card (2)'!F58,"AAAAAFXt9pc=")</f>
        <v>#VALUE!</v>
      </c>
      <c r="EW6" t="e">
        <f>AND('score card (2)'!G58,"AAAAAFXt9pg=")</f>
        <v>#VALUE!</v>
      </c>
      <c r="EX6" t="e">
        <f>AND('score card (2)'!H58,"AAAAAFXt9pk=")</f>
        <v>#VALUE!</v>
      </c>
      <c r="EY6" t="e">
        <f>AND('score card (2)'!I58,"AAAAAFXt9po=")</f>
        <v>#VALUE!</v>
      </c>
      <c r="EZ6" t="e">
        <f>AND('score card (2)'!J58,"AAAAAFXt9ps=")</f>
        <v>#VALUE!</v>
      </c>
      <c r="FA6" t="e">
        <f>AND('score card (2)'!K58,"AAAAAFXt9pw=")</f>
        <v>#VALUE!</v>
      </c>
      <c r="FB6" t="e">
        <f>AND('score card (2)'!L58,"AAAAAFXt9p0=")</f>
        <v>#VALUE!</v>
      </c>
      <c r="FC6" t="e">
        <f>AND('score card (2)'!M58,"AAAAAFXt9p4=")</f>
        <v>#VALUE!</v>
      </c>
      <c r="FD6" t="e">
        <f>AND('score card (2)'!N58,"AAAAAFXt9p8=")</f>
        <v>#VALUE!</v>
      </c>
      <c r="FE6" t="e">
        <f>AND('score card (2)'!O58,"AAAAAFXt9qA=")</f>
        <v>#VALUE!</v>
      </c>
      <c r="FF6" t="e">
        <f>AND('score card (2)'!P58,"AAAAAFXt9qE=")</f>
        <v>#VALUE!</v>
      </c>
      <c r="FG6" t="e">
        <f>AND('score card (2)'!Q58,"AAAAAFXt9qI=")</f>
        <v>#VALUE!</v>
      </c>
      <c r="FH6" t="e">
        <f>AND('score card (2)'!R58,"AAAAAFXt9qM=")</f>
        <v>#VALUE!</v>
      </c>
      <c r="FI6" t="e">
        <f>AND('score card (2)'!S58,"AAAAAFXt9qQ=")</f>
        <v>#VALUE!</v>
      </c>
      <c r="FJ6" t="e">
        <f>AND('score card (2)'!T58,"AAAAAFXt9qU=")</f>
        <v>#VALUE!</v>
      </c>
      <c r="FK6" t="e">
        <f>AND('score card (2)'!U58,"AAAAAFXt9qY=")</f>
        <v>#VALUE!</v>
      </c>
      <c r="FL6" t="e">
        <f>AND('score card (2)'!V58,"AAAAAFXt9qc=")</f>
        <v>#VALUE!</v>
      </c>
      <c r="FM6" t="e">
        <f>AND('score card (2)'!W58,"AAAAAFXt9qg=")</f>
        <v>#VALUE!</v>
      </c>
      <c r="FN6" t="e">
        <f>AND('score card (2)'!X58,"AAAAAFXt9qk=")</f>
        <v>#VALUE!</v>
      </c>
      <c r="FO6">
        <f>IF('score card (2)'!59:59,"AAAAAFXt9qo=",0)</f>
        <v>0</v>
      </c>
      <c r="FP6" t="e">
        <f>AND('score card (2)'!A59,"AAAAAFXt9qs=")</f>
        <v>#VALUE!</v>
      </c>
      <c r="FQ6" t="e">
        <f>AND('score card (2)'!B59,"AAAAAFXt9qw=")</f>
        <v>#VALUE!</v>
      </c>
      <c r="FR6" t="e">
        <f>AND('score card (2)'!C59,"AAAAAFXt9q0=")</f>
        <v>#VALUE!</v>
      </c>
      <c r="FS6" t="e">
        <f>AND('score card (2)'!D59,"AAAAAFXt9q4=")</f>
        <v>#VALUE!</v>
      </c>
      <c r="FT6" t="e">
        <f>AND('score card (2)'!E59,"AAAAAFXt9q8=")</f>
        <v>#VALUE!</v>
      </c>
      <c r="FU6" t="e">
        <f>AND('score card (2)'!F59,"AAAAAFXt9rA=")</f>
        <v>#VALUE!</v>
      </c>
      <c r="FV6" t="e">
        <f>AND('score card (2)'!G59,"AAAAAFXt9rE=")</f>
        <v>#VALUE!</v>
      </c>
      <c r="FW6" t="e">
        <f>AND('score card (2)'!H59,"AAAAAFXt9rI=")</f>
        <v>#VALUE!</v>
      </c>
      <c r="FX6" t="e">
        <f>AND('score card (2)'!I59,"AAAAAFXt9rM=")</f>
        <v>#VALUE!</v>
      </c>
      <c r="FY6" t="e">
        <f>AND('score card (2)'!J59,"AAAAAFXt9rQ=")</f>
        <v>#VALUE!</v>
      </c>
      <c r="FZ6" t="e">
        <f>AND('score card (2)'!K59,"AAAAAFXt9rU=")</f>
        <v>#VALUE!</v>
      </c>
      <c r="GA6" t="e">
        <f>AND('score card (2)'!L59,"AAAAAFXt9rY=")</f>
        <v>#VALUE!</v>
      </c>
      <c r="GB6" t="e">
        <f>AND('score card (2)'!M59,"AAAAAFXt9rc=")</f>
        <v>#VALUE!</v>
      </c>
      <c r="GC6" t="e">
        <f>AND('score card (2)'!N59,"AAAAAFXt9rg=")</f>
        <v>#VALUE!</v>
      </c>
      <c r="GD6" t="e">
        <f>AND('score card (2)'!O59,"AAAAAFXt9rk=")</f>
        <v>#VALUE!</v>
      </c>
      <c r="GE6" t="e">
        <f>AND('score card (2)'!P59,"AAAAAFXt9ro=")</f>
        <v>#VALUE!</v>
      </c>
      <c r="GF6" t="e">
        <f>AND('score card (2)'!Q59,"AAAAAFXt9rs=")</f>
        <v>#VALUE!</v>
      </c>
      <c r="GG6" t="e">
        <f>AND('score card (2)'!R59,"AAAAAFXt9rw=")</f>
        <v>#VALUE!</v>
      </c>
      <c r="GH6" t="e">
        <f>AND('score card (2)'!S59,"AAAAAFXt9r0=")</f>
        <v>#VALUE!</v>
      </c>
      <c r="GI6" t="e">
        <f>AND('score card (2)'!T59,"AAAAAFXt9r4=")</f>
        <v>#VALUE!</v>
      </c>
      <c r="GJ6" t="e">
        <f>AND('score card (2)'!U59,"AAAAAFXt9r8=")</f>
        <v>#VALUE!</v>
      </c>
      <c r="GK6" t="e">
        <f>AND('score card (2)'!V59,"AAAAAFXt9sA=")</f>
        <v>#VALUE!</v>
      </c>
      <c r="GL6" t="e">
        <f>AND('score card (2)'!W59,"AAAAAFXt9sE=")</f>
        <v>#VALUE!</v>
      </c>
      <c r="GM6" t="e">
        <f>AND('score card (2)'!X59,"AAAAAFXt9sI=")</f>
        <v>#VALUE!</v>
      </c>
      <c r="GN6">
        <f>IF('score card (2)'!60:60,"AAAAAFXt9sM=",0)</f>
        <v>0</v>
      </c>
      <c r="GO6" t="e">
        <f>AND('score card (2)'!A60,"AAAAAFXt9sQ=")</f>
        <v>#VALUE!</v>
      </c>
      <c r="GP6" t="e">
        <f>AND('score card (2)'!B60,"AAAAAFXt9sU=")</f>
        <v>#VALUE!</v>
      </c>
      <c r="GQ6" t="e">
        <f>AND('score card (2)'!C60,"AAAAAFXt9sY=")</f>
        <v>#VALUE!</v>
      </c>
      <c r="GR6" t="e">
        <f>AND('score card (2)'!D60,"AAAAAFXt9sc=")</f>
        <v>#VALUE!</v>
      </c>
      <c r="GS6" t="e">
        <f>AND('score card (2)'!E60,"AAAAAFXt9sg=")</f>
        <v>#VALUE!</v>
      </c>
      <c r="GT6" t="e">
        <f>AND('score card (2)'!F60,"AAAAAFXt9sk=")</f>
        <v>#VALUE!</v>
      </c>
      <c r="GU6" t="e">
        <f>AND('score card (2)'!G60,"AAAAAFXt9so=")</f>
        <v>#VALUE!</v>
      </c>
      <c r="GV6" t="e">
        <f>AND('score card (2)'!H60,"AAAAAFXt9ss=")</f>
        <v>#VALUE!</v>
      </c>
      <c r="GW6" t="e">
        <f>AND('score card (2)'!I60,"AAAAAFXt9sw=")</f>
        <v>#VALUE!</v>
      </c>
      <c r="GX6" t="e">
        <f>AND('score card (2)'!J60,"AAAAAFXt9s0=")</f>
        <v>#VALUE!</v>
      </c>
      <c r="GY6" t="e">
        <f>AND('score card (2)'!K60,"AAAAAFXt9s4=")</f>
        <v>#VALUE!</v>
      </c>
      <c r="GZ6" t="e">
        <f>AND('score card (2)'!L60,"AAAAAFXt9s8=")</f>
        <v>#VALUE!</v>
      </c>
      <c r="HA6" t="e">
        <f>AND('score card (2)'!M60,"AAAAAFXt9tA=")</f>
        <v>#VALUE!</v>
      </c>
      <c r="HB6" t="e">
        <f>AND('score card (2)'!N60,"AAAAAFXt9tE=")</f>
        <v>#VALUE!</v>
      </c>
      <c r="HC6" t="e">
        <f>AND('score card (2)'!O60,"AAAAAFXt9tI=")</f>
        <v>#VALUE!</v>
      </c>
      <c r="HD6" t="e">
        <f>AND('score card (2)'!P60,"AAAAAFXt9tM=")</f>
        <v>#VALUE!</v>
      </c>
      <c r="HE6" t="e">
        <f>AND('score card (2)'!Q60,"AAAAAFXt9tQ=")</f>
        <v>#VALUE!</v>
      </c>
      <c r="HF6" t="e">
        <f>AND('score card (2)'!R60,"AAAAAFXt9tU=")</f>
        <v>#VALUE!</v>
      </c>
      <c r="HG6" t="e">
        <f>AND('score card (2)'!S60,"AAAAAFXt9tY=")</f>
        <v>#VALUE!</v>
      </c>
      <c r="HH6" t="e">
        <f>AND('score card (2)'!T60,"AAAAAFXt9tc=")</f>
        <v>#VALUE!</v>
      </c>
      <c r="HI6" t="e">
        <f>AND('score card (2)'!U60,"AAAAAFXt9tg=")</f>
        <v>#VALUE!</v>
      </c>
      <c r="HJ6" t="e">
        <f>AND('score card (2)'!V60,"AAAAAFXt9tk=")</f>
        <v>#VALUE!</v>
      </c>
      <c r="HK6" t="e">
        <f>AND('score card (2)'!W60,"AAAAAFXt9to=")</f>
        <v>#VALUE!</v>
      </c>
      <c r="HL6" t="e">
        <f>AND('score card (2)'!X60,"AAAAAFXt9ts=")</f>
        <v>#VALUE!</v>
      </c>
      <c r="HM6">
        <f>IF('score card (2)'!61:61,"AAAAAFXt9tw=",0)</f>
        <v>0</v>
      </c>
      <c r="HN6" t="e">
        <f>AND('score card (2)'!A61,"AAAAAFXt9t0=")</f>
        <v>#VALUE!</v>
      </c>
      <c r="HO6" t="e">
        <f>AND('score card (2)'!B61,"AAAAAFXt9t4=")</f>
        <v>#VALUE!</v>
      </c>
      <c r="HP6" t="e">
        <f>AND('score card (2)'!C61,"AAAAAFXt9t8=")</f>
        <v>#VALUE!</v>
      </c>
      <c r="HQ6" t="e">
        <f>AND('score card (2)'!D61,"AAAAAFXt9uA=")</f>
        <v>#VALUE!</v>
      </c>
      <c r="HR6" t="e">
        <f>AND('score card (2)'!E61,"AAAAAFXt9uE=")</f>
        <v>#VALUE!</v>
      </c>
      <c r="HS6" t="e">
        <f>AND('score card (2)'!F61,"AAAAAFXt9uI=")</f>
        <v>#VALUE!</v>
      </c>
      <c r="HT6" t="e">
        <f>AND('score card (2)'!G61,"AAAAAFXt9uM=")</f>
        <v>#VALUE!</v>
      </c>
      <c r="HU6" t="e">
        <f>AND('score card (2)'!H61,"AAAAAFXt9uQ=")</f>
        <v>#VALUE!</v>
      </c>
      <c r="HV6" t="e">
        <f>AND('score card (2)'!I61,"AAAAAFXt9uU=")</f>
        <v>#VALUE!</v>
      </c>
      <c r="HW6" t="e">
        <f>AND('score card (2)'!J61,"AAAAAFXt9uY=")</f>
        <v>#VALUE!</v>
      </c>
      <c r="HX6" t="e">
        <f>AND('score card (2)'!K61,"AAAAAFXt9uc=")</f>
        <v>#VALUE!</v>
      </c>
      <c r="HY6" t="e">
        <f>AND('score card (2)'!L61,"AAAAAFXt9ug=")</f>
        <v>#VALUE!</v>
      </c>
      <c r="HZ6" t="e">
        <f>AND('score card (2)'!M61,"AAAAAFXt9uk=")</f>
        <v>#VALUE!</v>
      </c>
      <c r="IA6" t="e">
        <f>AND('score card (2)'!N61,"AAAAAFXt9uo=")</f>
        <v>#VALUE!</v>
      </c>
      <c r="IB6" t="e">
        <f>AND('score card (2)'!O61,"AAAAAFXt9us=")</f>
        <v>#VALUE!</v>
      </c>
      <c r="IC6" t="e">
        <f>AND('score card (2)'!P61,"AAAAAFXt9uw=")</f>
        <v>#VALUE!</v>
      </c>
      <c r="ID6" t="e">
        <f>AND('score card (2)'!Q61,"AAAAAFXt9u0=")</f>
        <v>#VALUE!</v>
      </c>
      <c r="IE6" t="e">
        <f>AND('score card (2)'!R61,"AAAAAFXt9u4=")</f>
        <v>#VALUE!</v>
      </c>
      <c r="IF6" t="e">
        <f>AND('score card (2)'!S61,"AAAAAFXt9u8=")</f>
        <v>#VALUE!</v>
      </c>
      <c r="IG6" t="e">
        <f>AND('score card (2)'!T61,"AAAAAFXt9vA=")</f>
        <v>#VALUE!</v>
      </c>
      <c r="IH6" t="e">
        <f>AND('score card (2)'!U61,"AAAAAFXt9vE=")</f>
        <v>#VALUE!</v>
      </c>
      <c r="II6" t="e">
        <f>AND('score card (2)'!V61,"AAAAAFXt9vI=")</f>
        <v>#VALUE!</v>
      </c>
      <c r="IJ6" t="e">
        <f>AND('score card (2)'!W61,"AAAAAFXt9vM=")</f>
        <v>#VALUE!</v>
      </c>
      <c r="IK6" t="e">
        <f>AND('score card (2)'!X61,"AAAAAFXt9vQ=")</f>
        <v>#VALUE!</v>
      </c>
      <c r="IL6">
        <f>IF('score card (2)'!62:62,"AAAAAFXt9vU=",0)</f>
        <v>0</v>
      </c>
      <c r="IM6" t="e">
        <f>AND('score card (2)'!A62,"AAAAAFXt9vY=")</f>
        <v>#VALUE!</v>
      </c>
      <c r="IN6" t="e">
        <f>AND('score card (2)'!B62,"AAAAAFXt9vc=")</f>
        <v>#VALUE!</v>
      </c>
      <c r="IO6" t="e">
        <f>AND('score card (2)'!C62,"AAAAAFXt9vg=")</f>
        <v>#VALUE!</v>
      </c>
      <c r="IP6" t="e">
        <f>AND('score card (2)'!D62,"AAAAAFXt9vk=")</f>
        <v>#VALUE!</v>
      </c>
      <c r="IQ6" t="e">
        <f>AND('score card (2)'!E62,"AAAAAFXt9vo=")</f>
        <v>#VALUE!</v>
      </c>
      <c r="IR6" t="e">
        <f>AND('score card (2)'!F62,"AAAAAFXt9vs=")</f>
        <v>#VALUE!</v>
      </c>
      <c r="IS6" t="e">
        <f>AND('score card (2)'!G62,"AAAAAFXt9vw=")</f>
        <v>#VALUE!</v>
      </c>
      <c r="IT6" t="e">
        <f>AND('score card (2)'!H62,"AAAAAFXt9v0=")</f>
        <v>#VALUE!</v>
      </c>
      <c r="IU6" t="e">
        <f>AND('score card (2)'!I62,"AAAAAFXt9v4=")</f>
        <v>#VALUE!</v>
      </c>
      <c r="IV6" t="e">
        <f>AND('score card (2)'!J62,"AAAAAFXt9v8=")</f>
        <v>#VALUE!</v>
      </c>
    </row>
    <row r="7" spans="1:256" ht="12.75">
      <c r="A7" t="e">
        <f>AND('score card (2)'!K62,"AAAAAH/zvwA=")</f>
        <v>#VALUE!</v>
      </c>
      <c r="B7" t="e">
        <f>AND('score card (2)'!L62,"AAAAAH/zvwE=")</f>
        <v>#VALUE!</v>
      </c>
      <c r="C7" t="e">
        <f>AND('score card (2)'!M62,"AAAAAH/zvwI=")</f>
        <v>#VALUE!</v>
      </c>
      <c r="D7" t="e">
        <f>AND('score card (2)'!N62,"AAAAAH/zvwM=")</f>
        <v>#VALUE!</v>
      </c>
      <c r="E7" t="e">
        <f>AND('score card (2)'!O62,"AAAAAH/zvwQ=")</f>
        <v>#VALUE!</v>
      </c>
      <c r="F7" t="e">
        <f>AND('score card (2)'!P62,"AAAAAH/zvwU=")</f>
        <v>#VALUE!</v>
      </c>
      <c r="G7" t="e">
        <f>AND('score card (2)'!Q62,"AAAAAH/zvwY=")</f>
        <v>#VALUE!</v>
      </c>
      <c r="H7" t="e">
        <f>AND('score card (2)'!R62,"AAAAAH/zvwc=")</f>
        <v>#VALUE!</v>
      </c>
      <c r="I7" t="e">
        <f>AND('score card (2)'!S62,"AAAAAH/zvwg=")</f>
        <v>#VALUE!</v>
      </c>
      <c r="J7" t="e">
        <f>AND('score card (2)'!T62,"AAAAAH/zvwk=")</f>
        <v>#VALUE!</v>
      </c>
      <c r="K7" t="e">
        <f>AND('score card (2)'!U62,"AAAAAH/zvwo=")</f>
        <v>#VALUE!</v>
      </c>
      <c r="L7" t="e">
        <f>AND('score card (2)'!V62,"AAAAAH/zvws=")</f>
        <v>#VALUE!</v>
      </c>
      <c r="M7" t="e">
        <f>AND('score card (2)'!W62,"AAAAAH/zvww=")</f>
        <v>#VALUE!</v>
      </c>
      <c r="N7" t="e">
        <f>AND('score card (2)'!X62,"AAAAAH/zvw0=")</f>
        <v>#VALUE!</v>
      </c>
      <c r="O7">
        <f>IF('score card (2)'!63:63,"AAAAAH/zvw4=",0)</f>
        <v>0</v>
      </c>
      <c r="P7" t="e">
        <f>AND('score card (2)'!A63,"AAAAAH/zvw8=")</f>
        <v>#VALUE!</v>
      </c>
      <c r="Q7" t="e">
        <f>AND('score card (2)'!B63,"AAAAAH/zvxA=")</f>
        <v>#VALUE!</v>
      </c>
      <c r="R7" t="e">
        <f>AND('score card (2)'!C63,"AAAAAH/zvxE=")</f>
        <v>#VALUE!</v>
      </c>
      <c r="S7" t="e">
        <f>AND('score card (2)'!D63,"AAAAAH/zvxI=")</f>
        <v>#VALUE!</v>
      </c>
      <c r="T7" t="e">
        <f>AND('score card (2)'!E63,"AAAAAH/zvxM=")</f>
        <v>#VALUE!</v>
      </c>
      <c r="U7" t="e">
        <f>AND('score card (2)'!F63,"AAAAAH/zvxQ=")</f>
        <v>#VALUE!</v>
      </c>
      <c r="V7" t="e">
        <f>AND('score card (2)'!G63,"AAAAAH/zvxU=")</f>
        <v>#VALUE!</v>
      </c>
      <c r="W7" t="e">
        <f>AND('score card (2)'!H63,"AAAAAH/zvxY=")</f>
        <v>#VALUE!</v>
      </c>
      <c r="X7" t="e">
        <f>AND('score card (2)'!I63,"AAAAAH/zvxc=")</f>
        <v>#VALUE!</v>
      </c>
      <c r="Y7" t="e">
        <f>AND('score card (2)'!J63,"AAAAAH/zvxg=")</f>
        <v>#VALUE!</v>
      </c>
      <c r="Z7" t="e">
        <f>AND('score card (2)'!K63,"AAAAAH/zvxk=")</f>
        <v>#VALUE!</v>
      </c>
      <c r="AA7" t="e">
        <f>AND('score card (2)'!L63,"AAAAAH/zvxo=")</f>
        <v>#VALUE!</v>
      </c>
      <c r="AB7" t="e">
        <f>AND('score card (2)'!M63,"AAAAAH/zvxs=")</f>
        <v>#VALUE!</v>
      </c>
      <c r="AC7" t="e">
        <f>AND('score card (2)'!N63,"AAAAAH/zvxw=")</f>
        <v>#VALUE!</v>
      </c>
      <c r="AD7" t="e">
        <f>AND('score card (2)'!O63,"AAAAAH/zvx0=")</f>
        <v>#VALUE!</v>
      </c>
      <c r="AE7" t="e">
        <f>AND('score card (2)'!P63,"AAAAAH/zvx4=")</f>
        <v>#VALUE!</v>
      </c>
      <c r="AF7" t="e">
        <f>AND('score card (2)'!Q63,"AAAAAH/zvx8=")</f>
        <v>#VALUE!</v>
      </c>
      <c r="AG7" t="e">
        <f>AND('score card (2)'!R63,"AAAAAH/zvyA=")</f>
        <v>#VALUE!</v>
      </c>
      <c r="AH7" t="e">
        <f>AND('score card (2)'!S63,"AAAAAH/zvyE=")</f>
        <v>#VALUE!</v>
      </c>
      <c r="AI7" t="e">
        <f>AND('score card (2)'!T63,"AAAAAH/zvyI=")</f>
        <v>#VALUE!</v>
      </c>
      <c r="AJ7" t="e">
        <f>AND('score card (2)'!U63,"AAAAAH/zvyM=")</f>
        <v>#VALUE!</v>
      </c>
      <c r="AK7" t="e">
        <f>AND('score card (2)'!V63,"AAAAAH/zvyQ=")</f>
        <v>#VALUE!</v>
      </c>
      <c r="AL7" t="e">
        <f>AND('score card (2)'!W63,"AAAAAH/zvyU=")</f>
        <v>#VALUE!</v>
      </c>
      <c r="AM7" t="e">
        <f>AND('score card (2)'!X63,"AAAAAH/zvyY=")</f>
        <v>#VALUE!</v>
      </c>
      <c r="AN7">
        <f>IF('score card (2)'!64:64,"AAAAAH/zvyc=",0)</f>
        <v>0</v>
      </c>
      <c r="AO7" t="e">
        <f>AND('score card (2)'!A64,"AAAAAH/zvyg=")</f>
        <v>#VALUE!</v>
      </c>
      <c r="AP7" t="e">
        <f>AND('score card (2)'!B64,"AAAAAH/zvyk=")</f>
        <v>#VALUE!</v>
      </c>
      <c r="AQ7" t="e">
        <f>AND('score card (2)'!C64,"AAAAAH/zvyo=")</f>
        <v>#VALUE!</v>
      </c>
      <c r="AR7" t="e">
        <f>AND('score card (2)'!D64,"AAAAAH/zvys=")</f>
        <v>#VALUE!</v>
      </c>
      <c r="AS7" t="e">
        <f>AND('score card (2)'!E64,"AAAAAH/zvyw=")</f>
        <v>#VALUE!</v>
      </c>
      <c r="AT7" t="e">
        <f>AND('score card (2)'!F64,"AAAAAH/zvy0=")</f>
        <v>#VALUE!</v>
      </c>
      <c r="AU7" t="e">
        <f>AND('score card (2)'!G64,"AAAAAH/zvy4=")</f>
        <v>#VALUE!</v>
      </c>
      <c r="AV7" t="e">
        <f>AND('score card (2)'!H64,"AAAAAH/zvy8=")</f>
        <v>#VALUE!</v>
      </c>
      <c r="AW7" t="e">
        <f>AND('score card (2)'!I64,"AAAAAH/zvzA=")</f>
        <v>#VALUE!</v>
      </c>
      <c r="AX7" t="e">
        <f>AND('score card (2)'!J64,"AAAAAH/zvzE=")</f>
        <v>#VALUE!</v>
      </c>
      <c r="AY7" t="e">
        <f>AND('score card (2)'!K64,"AAAAAH/zvzI=")</f>
        <v>#VALUE!</v>
      </c>
      <c r="AZ7" t="e">
        <f>AND('score card (2)'!L64,"AAAAAH/zvzM=")</f>
        <v>#VALUE!</v>
      </c>
      <c r="BA7" t="e">
        <f>AND('score card (2)'!M64,"AAAAAH/zvzQ=")</f>
        <v>#VALUE!</v>
      </c>
      <c r="BB7" t="e">
        <f>AND('score card (2)'!N64,"AAAAAH/zvzU=")</f>
        <v>#VALUE!</v>
      </c>
      <c r="BC7" t="e">
        <f>AND('score card (2)'!O64,"AAAAAH/zvzY=")</f>
        <v>#VALUE!</v>
      </c>
      <c r="BD7" t="e">
        <f>AND('score card (2)'!P64,"AAAAAH/zvzc=")</f>
        <v>#VALUE!</v>
      </c>
      <c r="BE7" t="e">
        <f>AND('score card (2)'!Q64,"AAAAAH/zvzg=")</f>
        <v>#VALUE!</v>
      </c>
      <c r="BF7" t="e">
        <f>AND('score card (2)'!R64,"AAAAAH/zvzk=")</f>
        <v>#VALUE!</v>
      </c>
      <c r="BG7" t="e">
        <f>AND('score card (2)'!S64,"AAAAAH/zvzo=")</f>
        <v>#VALUE!</v>
      </c>
      <c r="BH7" t="e">
        <f>AND('score card (2)'!T64,"AAAAAH/zvzs=")</f>
        <v>#VALUE!</v>
      </c>
      <c r="BI7" t="e">
        <f>AND('score card (2)'!U64,"AAAAAH/zvzw=")</f>
        <v>#VALUE!</v>
      </c>
      <c r="BJ7" t="e">
        <f>AND('score card (2)'!V64,"AAAAAH/zvz0=")</f>
        <v>#VALUE!</v>
      </c>
      <c r="BK7" t="e">
        <f>AND('score card (2)'!W64,"AAAAAH/zvz4=")</f>
        <v>#VALUE!</v>
      </c>
      <c r="BL7" t="e">
        <f>AND('score card (2)'!X64,"AAAAAH/zvz8=")</f>
        <v>#VALUE!</v>
      </c>
      <c r="BM7">
        <f>IF('score card (2)'!65:65,"AAAAAH/zv0A=",0)</f>
        <v>0</v>
      </c>
      <c r="BN7" t="e">
        <f>AND('score card (2)'!A65,"AAAAAH/zv0E=")</f>
        <v>#VALUE!</v>
      </c>
      <c r="BO7" t="e">
        <f>AND('score card (2)'!B65,"AAAAAH/zv0I=")</f>
        <v>#VALUE!</v>
      </c>
      <c r="BP7" t="e">
        <f>AND('score card (2)'!C65,"AAAAAH/zv0M=")</f>
        <v>#VALUE!</v>
      </c>
      <c r="BQ7" t="e">
        <f>AND('score card (2)'!D65,"AAAAAH/zv0Q=")</f>
        <v>#VALUE!</v>
      </c>
      <c r="BR7" t="e">
        <f>AND('score card (2)'!E65,"AAAAAH/zv0U=")</f>
        <v>#VALUE!</v>
      </c>
      <c r="BS7" t="e">
        <f>AND('score card (2)'!F65,"AAAAAH/zv0Y=")</f>
        <v>#VALUE!</v>
      </c>
      <c r="BT7" t="e">
        <f>AND('score card (2)'!G65,"AAAAAH/zv0c=")</f>
        <v>#VALUE!</v>
      </c>
      <c r="BU7" t="e">
        <f>AND('score card (2)'!H65,"AAAAAH/zv0g=")</f>
        <v>#VALUE!</v>
      </c>
      <c r="BV7" t="e">
        <f>AND('score card (2)'!I65,"AAAAAH/zv0k=")</f>
        <v>#VALUE!</v>
      </c>
      <c r="BW7" t="e">
        <f>AND('score card (2)'!J65,"AAAAAH/zv0o=")</f>
        <v>#VALUE!</v>
      </c>
      <c r="BX7" t="e">
        <f>AND('score card (2)'!K65,"AAAAAH/zv0s=")</f>
        <v>#VALUE!</v>
      </c>
      <c r="BY7" t="e">
        <f>AND('score card (2)'!L65,"AAAAAH/zv0w=")</f>
        <v>#VALUE!</v>
      </c>
      <c r="BZ7" t="e">
        <f>AND('score card (2)'!M65,"AAAAAH/zv00=")</f>
        <v>#VALUE!</v>
      </c>
      <c r="CA7" t="e">
        <f>AND('score card (2)'!N65,"AAAAAH/zv04=")</f>
        <v>#VALUE!</v>
      </c>
      <c r="CB7" t="e">
        <f>AND('score card (2)'!O65,"AAAAAH/zv08=")</f>
        <v>#VALUE!</v>
      </c>
      <c r="CC7" t="e">
        <f>AND('score card (2)'!P65,"AAAAAH/zv1A=")</f>
        <v>#VALUE!</v>
      </c>
      <c r="CD7" t="e">
        <f>AND('score card (2)'!Q65,"AAAAAH/zv1E=")</f>
        <v>#VALUE!</v>
      </c>
      <c r="CE7" t="e">
        <f>AND('score card (2)'!R65,"AAAAAH/zv1I=")</f>
        <v>#VALUE!</v>
      </c>
      <c r="CF7" t="e">
        <f>AND('score card (2)'!S65,"AAAAAH/zv1M=")</f>
        <v>#VALUE!</v>
      </c>
      <c r="CG7" t="e">
        <f>AND('score card (2)'!T65,"AAAAAH/zv1Q=")</f>
        <v>#VALUE!</v>
      </c>
      <c r="CH7" t="e">
        <f>AND('score card (2)'!U65,"AAAAAH/zv1U=")</f>
        <v>#VALUE!</v>
      </c>
      <c r="CI7" t="e">
        <f>AND('score card (2)'!V65,"AAAAAH/zv1Y=")</f>
        <v>#VALUE!</v>
      </c>
      <c r="CJ7" t="e">
        <f>AND('score card (2)'!W65,"AAAAAH/zv1c=")</f>
        <v>#VALUE!</v>
      </c>
      <c r="CK7" t="e">
        <f>AND('score card (2)'!X65,"AAAAAH/zv1g=")</f>
        <v>#VALUE!</v>
      </c>
      <c r="CL7">
        <f>IF('score card (2)'!66:66,"AAAAAH/zv1k=",0)</f>
        <v>0</v>
      </c>
      <c r="CM7" t="e">
        <f>AND('score card (2)'!A66,"AAAAAH/zv1o=")</f>
        <v>#VALUE!</v>
      </c>
      <c r="CN7" t="e">
        <f>AND('score card (2)'!B66,"AAAAAH/zv1s=")</f>
        <v>#VALUE!</v>
      </c>
      <c r="CO7" t="e">
        <f>AND('score card (2)'!C66,"AAAAAH/zv1w=")</f>
        <v>#VALUE!</v>
      </c>
      <c r="CP7" t="e">
        <f>AND('score card (2)'!D66,"AAAAAH/zv10=")</f>
        <v>#VALUE!</v>
      </c>
      <c r="CQ7" t="e">
        <f>AND('score card (2)'!E66,"AAAAAH/zv14=")</f>
        <v>#VALUE!</v>
      </c>
      <c r="CR7" t="e">
        <f>AND('score card (2)'!F66,"AAAAAH/zv18=")</f>
        <v>#VALUE!</v>
      </c>
      <c r="CS7" t="e">
        <f>AND('score card (2)'!G66,"AAAAAH/zv2A=")</f>
        <v>#VALUE!</v>
      </c>
      <c r="CT7" t="e">
        <f>AND('score card (2)'!H66,"AAAAAH/zv2E=")</f>
        <v>#VALUE!</v>
      </c>
      <c r="CU7" t="e">
        <f>AND('score card (2)'!I66,"AAAAAH/zv2I=")</f>
        <v>#VALUE!</v>
      </c>
      <c r="CV7" t="e">
        <f>AND('score card (2)'!J66,"AAAAAH/zv2M=")</f>
        <v>#VALUE!</v>
      </c>
      <c r="CW7" t="e">
        <f>AND('score card (2)'!K66,"AAAAAH/zv2Q=")</f>
        <v>#VALUE!</v>
      </c>
      <c r="CX7" t="e">
        <f>AND('score card (2)'!L66,"AAAAAH/zv2U=")</f>
        <v>#VALUE!</v>
      </c>
      <c r="CY7" t="e">
        <f>AND('score card (2)'!M66,"AAAAAH/zv2Y=")</f>
        <v>#VALUE!</v>
      </c>
      <c r="CZ7" t="e">
        <f>AND('score card (2)'!N66,"AAAAAH/zv2c=")</f>
        <v>#VALUE!</v>
      </c>
      <c r="DA7" t="e">
        <f>AND('score card (2)'!O66,"AAAAAH/zv2g=")</f>
        <v>#VALUE!</v>
      </c>
      <c r="DB7" t="e">
        <f>AND('score card (2)'!P66,"AAAAAH/zv2k=")</f>
        <v>#VALUE!</v>
      </c>
      <c r="DC7" t="e">
        <f>AND('score card (2)'!Q66,"AAAAAH/zv2o=")</f>
        <v>#VALUE!</v>
      </c>
      <c r="DD7" t="e">
        <f>AND('score card (2)'!R66,"AAAAAH/zv2s=")</f>
        <v>#VALUE!</v>
      </c>
      <c r="DE7" t="e">
        <f>AND('score card (2)'!S66,"AAAAAH/zv2w=")</f>
        <v>#VALUE!</v>
      </c>
      <c r="DF7" t="e">
        <f>AND('score card (2)'!T66,"AAAAAH/zv20=")</f>
        <v>#VALUE!</v>
      </c>
      <c r="DG7" t="e">
        <f>AND('score card (2)'!U66,"AAAAAH/zv24=")</f>
        <v>#VALUE!</v>
      </c>
      <c r="DH7" t="e">
        <f>AND('score card (2)'!V66,"AAAAAH/zv28=")</f>
        <v>#VALUE!</v>
      </c>
      <c r="DI7" t="e">
        <f>AND('score card (2)'!W66,"AAAAAH/zv3A=")</f>
        <v>#VALUE!</v>
      </c>
      <c r="DJ7" t="e">
        <f>AND('score card (2)'!X66,"AAAAAH/zv3E=")</f>
        <v>#VALUE!</v>
      </c>
      <c r="DK7">
        <f>IF('score card (2)'!67:67,"AAAAAH/zv3I=",0)</f>
        <v>0</v>
      </c>
      <c r="DL7" t="e">
        <f>AND('score card (2)'!A67,"AAAAAH/zv3M=")</f>
        <v>#VALUE!</v>
      </c>
      <c r="DM7" t="e">
        <f>AND('score card (2)'!B67,"AAAAAH/zv3Q=")</f>
        <v>#VALUE!</v>
      </c>
      <c r="DN7" t="e">
        <f>AND('score card (2)'!C67,"AAAAAH/zv3U=")</f>
        <v>#VALUE!</v>
      </c>
      <c r="DO7" t="e">
        <f>AND('score card (2)'!D67,"AAAAAH/zv3Y=")</f>
        <v>#VALUE!</v>
      </c>
      <c r="DP7" t="e">
        <f>AND('score card (2)'!E67,"AAAAAH/zv3c=")</f>
        <v>#VALUE!</v>
      </c>
      <c r="DQ7" t="e">
        <f>AND('score card (2)'!F67,"AAAAAH/zv3g=")</f>
        <v>#VALUE!</v>
      </c>
      <c r="DR7" t="e">
        <f>AND('score card (2)'!G67,"AAAAAH/zv3k=")</f>
        <v>#VALUE!</v>
      </c>
      <c r="DS7" t="e">
        <f>AND('score card (2)'!H67,"AAAAAH/zv3o=")</f>
        <v>#VALUE!</v>
      </c>
      <c r="DT7" t="e">
        <f>AND('score card (2)'!I67,"AAAAAH/zv3s=")</f>
        <v>#VALUE!</v>
      </c>
      <c r="DU7" t="e">
        <f>AND('score card (2)'!J67,"AAAAAH/zv3w=")</f>
        <v>#VALUE!</v>
      </c>
      <c r="DV7" t="e">
        <f>AND('score card (2)'!K67,"AAAAAH/zv30=")</f>
        <v>#VALUE!</v>
      </c>
      <c r="DW7" t="e">
        <f>AND('score card (2)'!L67,"AAAAAH/zv34=")</f>
        <v>#VALUE!</v>
      </c>
      <c r="DX7" t="e">
        <f>AND('score card (2)'!M67,"AAAAAH/zv38=")</f>
        <v>#VALUE!</v>
      </c>
      <c r="DY7" t="e">
        <f>AND('score card (2)'!N67,"AAAAAH/zv4A=")</f>
        <v>#VALUE!</v>
      </c>
      <c r="DZ7" t="e">
        <f>AND('score card (2)'!O67,"AAAAAH/zv4E=")</f>
        <v>#VALUE!</v>
      </c>
      <c r="EA7" t="e">
        <f>AND('score card (2)'!P67,"AAAAAH/zv4I=")</f>
        <v>#VALUE!</v>
      </c>
      <c r="EB7" t="e">
        <f>AND('score card (2)'!Q67,"AAAAAH/zv4M=")</f>
        <v>#VALUE!</v>
      </c>
      <c r="EC7" t="e">
        <f>AND('score card (2)'!R67,"AAAAAH/zv4Q=")</f>
        <v>#VALUE!</v>
      </c>
      <c r="ED7" t="e">
        <f>AND('score card (2)'!S67,"AAAAAH/zv4U=")</f>
        <v>#VALUE!</v>
      </c>
      <c r="EE7" t="e">
        <f>AND('score card (2)'!T67,"AAAAAH/zv4Y=")</f>
        <v>#VALUE!</v>
      </c>
      <c r="EF7" t="e">
        <f>AND('score card (2)'!U67,"AAAAAH/zv4c=")</f>
        <v>#VALUE!</v>
      </c>
      <c r="EG7" t="e">
        <f>AND('score card (2)'!V67,"AAAAAH/zv4g=")</f>
        <v>#VALUE!</v>
      </c>
      <c r="EH7" t="e">
        <f>AND('score card (2)'!W67,"AAAAAH/zv4k=")</f>
        <v>#VALUE!</v>
      </c>
      <c r="EI7" t="e">
        <f>AND('score card (2)'!X67,"AAAAAH/zv4o=")</f>
        <v>#VALUE!</v>
      </c>
      <c r="EJ7">
        <f>IF('score card (2)'!68:68,"AAAAAH/zv4s=",0)</f>
        <v>0</v>
      </c>
      <c r="EK7" t="e">
        <f>AND('score card (2)'!A68,"AAAAAH/zv4w=")</f>
        <v>#VALUE!</v>
      </c>
      <c r="EL7" t="e">
        <f>AND('score card (2)'!B68,"AAAAAH/zv40=")</f>
        <v>#VALUE!</v>
      </c>
      <c r="EM7" t="e">
        <f>AND('score card (2)'!C68,"AAAAAH/zv44=")</f>
        <v>#VALUE!</v>
      </c>
      <c r="EN7" t="e">
        <f>AND('score card (2)'!D68,"AAAAAH/zv48=")</f>
        <v>#VALUE!</v>
      </c>
      <c r="EO7" t="e">
        <f>AND('score card (2)'!E68,"AAAAAH/zv5A=")</f>
        <v>#VALUE!</v>
      </c>
      <c r="EP7" t="e">
        <f>AND('score card (2)'!F68,"AAAAAH/zv5E=")</f>
        <v>#VALUE!</v>
      </c>
      <c r="EQ7" t="e">
        <f>AND('score card (2)'!G68,"AAAAAH/zv5I=")</f>
        <v>#VALUE!</v>
      </c>
      <c r="ER7" t="e">
        <f>AND('score card (2)'!H68,"AAAAAH/zv5M=")</f>
        <v>#VALUE!</v>
      </c>
      <c r="ES7" t="e">
        <f>AND('score card (2)'!I68,"AAAAAH/zv5Q=")</f>
        <v>#VALUE!</v>
      </c>
      <c r="ET7" t="e">
        <f>AND('score card (2)'!J68,"AAAAAH/zv5U=")</f>
        <v>#VALUE!</v>
      </c>
      <c r="EU7" t="e">
        <f>AND('score card (2)'!K68,"AAAAAH/zv5Y=")</f>
        <v>#VALUE!</v>
      </c>
      <c r="EV7" t="e">
        <f>AND('score card (2)'!L68,"AAAAAH/zv5c=")</f>
        <v>#VALUE!</v>
      </c>
      <c r="EW7" t="e">
        <f>AND('score card (2)'!M68,"AAAAAH/zv5g=")</f>
        <v>#VALUE!</v>
      </c>
      <c r="EX7" t="e">
        <f>AND('score card (2)'!N68,"AAAAAH/zv5k=")</f>
        <v>#VALUE!</v>
      </c>
      <c r="EY7" t="e">
        <f>AND('score card (2)'!O68,"AAAAAH/zv5o=")</f>
        <v>#VALUE!</v>
      </c>
      <c r="EZ7" t="e">
        <f>AND('score card (2)'!P68,"AAAAAH/zv5s=")</f>
        <v>#VALUE!</v>
      </c>
      <c r="FA7" t="e">
        <f>AND('score card (2)'!Q68,"AAAAAH/zv5w=")</f>
        <v>#VALUE!</v>
      </c>
      <c r="FB7" t="e">
        <f>AND('score card (2)'!R68,"AAAAAH/zv50=")</f>
        <v>#VALUE!</v>
      </c>
      <c r="FC7" t="e">
        <f>AND('score card (2)'!S68,"AAAAAH/zv54=")</f>
        <v>#VALUE!</v>
      </c>
      <c r="FD7" t="e">
        <f>AND('score card (2)'!T68,"AAAAAH/zv58=")</f>
        <v>#VALUE!</v>
      </c>
      <c r="FE7" t="e">
        <f>AND('score card (2)'!U68,"AAAAAH/zv6A=")</f>
        <v>#VALUE!</v>
      </c>
      <c r="FF7" t="e">
        <f>AND('score card (2)'!V68,"AAAAAH/zv6E=")</f>
        <v>#VALUE!</v>
      </c>
      <c r="FG7" t="e">
        <f>AND('score card (2)'!W68,"AAAAAH/zv6I=")</f>
        <v>#VALUE!</v>
      </c>
      <c r="FH7" t="e">
        <f>AND('score card (2)'!X68,"AAAAAH/zv6M=")</f>
        <v>#VALUE!</v>
      </c>
      <c r="FI7">
        <f>IF('score card (2)'!69:69,"AAAAAH/zv6Q=",0)</f>
        <v>0</v>
      </c>
      <c r="FJ7" t="e">
        <f>AND('score card (2)'!A69,"AAAAAH/zv6U=")</f>
        <v>#VALUE!</v>
      </c>
      <c r="FK7" t="e">
        <f>AND('score card (2)'!B69,"AAAAAH/zv6Y=")</f>
        <v>#VALUE!</v>
      </c>
      <c r="FL7" t="e">
        <f>AND('score card (2)'!C69,"AAAAAH/zv6c=")</f>
        <v>#VALUE!</v>
      </c>
      <c r="FM7" t="e">
        <f>AND('score card (2)'!D69,"AAAAAH/zv6g=")</f>
        <v>#VALUE!</v>
      </c>
      <c r="FN7" t="e">
        <f>AND('score card (2)'!E69,"AAAAAH/zv6k=")</f>
        <v>#VALUE!</v>
      </c>
      <c r="FO7" t="e">
        <f>AND('score card (2)'!F69,"AAAAAH/zv6o=")</f>
        <v>#VALUE!</v>
      </c>
      <c r="FP7" t="e">
        <f>AND('score card (2)'!G69,"AAAAAH/zv6s=")</f>
        <v>#VALUE!</v>
      </c>
      <c r="FQ7" t="e">
        <f>AND('score card (2)'!H69,"AAAAAH/zv6w=")</f>
        <v>#VALUE!</v>
      </c>
      <c r="FR7" t="e">
        <f>AND('score card (2)'!I69,"AAAAAH/zv60=")</f>
        <v>#VALUE!</v>
      </c>
      <c r="FS7" t="e">
        <f>AND('score card (2)'!J69,"AAAAAH/zv64=")</f>
        <v>#VALUE!</v>
      </c>
      <c r="FT7" t="e">
        <f>AND('score card (2)'!K69,"AAAAAH/zv68=")</f>
        <v>#VALUE!</v>
      </c>
      <c r="FU7" t="e">
        <f>AND('score card (2)'!L69,"AAAAAH/zv7A=")</f>
        <v>#VALUE!</v>
      </c>
      <c r="FV7" t="e">
        <f>AND('score card (2)'!M69,"AAAAAH/zv7E=")</f>
        <v>#VALUE!</v>
      </c>
      <c r="FW7" t="e">
        <f>AND('score card (2)'!N69,"AAAAAH/zv7I=")</f>
        <v>#VALUE!</v>
      </c>
      <c r="FX7" t="e">
        <f>AND('score card (2)'!O69,"AAAAAH/zv7M=")</f>
        <v>#VALUE!</v>
      </c>
      <c r="FY7" t="e">
        <f>AND('score card (2)'!P69,"AAAAAH/zv7Q=")</f>
        <v>#VALUE!</v>
      </c>
      <c r="FZ7" t="e">
        <f>AND('score card (2)'!Q69,"AAAAAH/zv7U=")</f>
        <v>#VALUE!</v>
      </c>
      <c r="GA7" t="e">
        <f>AND('score card (2)'!R69,"AAAAAH/zv7Y=")</f>
        <v>#VALUE!</v>
      </c>
      <c r="GB7" t="e">
        <f>AND('score card (2)'!S69,"AAAAAH/zv7c=")</f>
        <v>#VALUE!</v>
      </c>
      <c r="GC7" t="e">
        <f>AND('score card (2)'!T69,"AAAAAH/zv7g=")</f>
        <v>#VALUE!</v>
      </c>
      <c r="GD7" t="e">
        <f>AND('score card (2)'!U69,"AAAAAH/zv7k=")</f>
        <v>#VALUE!</v>
      </c>
      <c r="GE7" t="e">
        <f>AND('score card (2)'!V69,"AAAAAH/zv7o=")</f>
        <v>#VALUE!</v>
      </c>
      <c r="GF7" t="e">
        <f>AND('score card (2)'!W69,"AAAAAH/zv7s=")</f>
        <v>#VALUE!</v>
      </c>
      <c r="GG7" t="e">
        <f>AND('score card (2)'!X69,"AAAAAH/zv7w=")</f>
        <v>#VALUE!</v>
      </c>
      <c r="GH7">
        <f>IF('score card (2)'!70:70,"AAAAAH/zv70=",0)</f>
        <v>0</v>
      </c>
      <c r="GI7" t="e">
        <f>AND('score card (2)'!A70,"AAAAAH/zv74=")</f>
        <v>#VALUE!</v>
      </c>
      <c r="GJ7" t="e">
        <f>AND('score card (2)'!B70,"AAAAAH/zv78=")</f>
        <v>#VALUE!</v>
      </c>
      <c r="GK7" t="e">
        <f>AND('score card (2)'!C70,"AAAAAH/zv8A=")</f>
        <v>#VALUE!</v>
      </c>
      <c r="GL7" t="e">
        <f>AND('score card (2)'!D70,"AAAAAH/zv8E=")</f>
        <v>#VALUE!</v>
      </c>
      <c r="GM7" t="e">
        <f>AND('score card (2)'!E70,"AAAAAH/zv8I=")</f>
        <v>#VALUE!</v>
      </c>
      <c r="GN7" t="e">
        <f>AND('score card (2)'!F70,"AAAAAH/zv8M=")</f>
        <v>#VALUE!</v>
      </c>
      <c r="GO7" t="e">
        <f>AND('score card (2)'!G70,"AAAAAH/zv8Q=")</f>
        <v>#VALUE!</v>
      </c>
      <c r="GP7" t="e">
        <f>AND('score card (2)'!H70,"AAAAAH/zv8U=")</f>
        <v>#VALUE!</v>
      </c>
      <c r="GQ7" t="e">
        <f>AND('score card (2)'!I70,"AAAAAH/zv8Y=")</f>
        <v>#VALUE!</v>
      </c>
      <c r="GR7" t="e">
        <f>AND('score card (2)'!J70,"AAAAAH/zv8c=")</f>
        <v>#VALUE!</v>
      </c>
      <c r="GS7" t="e">
        <f>AND('score card (2)'!K70,"AAAAAH/zv8g=")</f>
        <v>#VALUE!</v>
      </c>
      <c r="GT7" t="e">
        <f>AND('score card (2)'!L70,"AAAAAH/zv8k=")</f>
        <v>#VALUE!</v>
      </c>
      <c r="GU7" t="e">
        <f>AND('score card (2)'!M70,"AAAAAH/zv8o=")</f>
        <v>#VALUE!</v>
      </c>
      <c r="GV7" t="e">
        <f>AND('score card (2)'!N70,"AAAAAH/zv8s=")</f>
        <v>#VALUE!</v>
      </c>
      <c r="GW7" t="e">
        <f>AND('score card (2)'!O70,"AAAAAH/zv8w=")</f>
        <v>#VALUE!</v>
      </c>
      <c r="GX7" t="e">
        <f>AND('score card (2)'!P70,"AAAAAH/zv80=")</f>
        <v>#VALUE!</v>
      </c>
      <c r="GY7" t="e">
        <f>AND('score card (2)'!Q70,"AAAAAH/zv84=")</f>
        <v>#VALUE!</v>
      </c>
      <c r="GZ7" t="e">
        <f>AND('score card (2)'!R70,"AAAAAH/zv88=")</f>
        <v>#VALUE!</v>
      </c>
      <c r="HA7" t="e">
        <f>AND('score card (2)'!S70,"AAAAAH/zv9A=")</f>
        <v>#VALUE!</v>
      </c>
      <c r="HB7" t="e">
        <f>AND('score card (2)'!T70,"AAAAAH/zv9E=")</f>
        <v>#VALUE!</v>
      </c>
      <c r="HC7" t="e">
        <f>AND('score card (2)'!U70,"AAAAAH/zv9I=")</f>
        <v>#VALUE!</v>
      </c>
      <c r="HD7" t="e">
        <f>AND('score card (2)'!V70,"AAAAAH/zv9M=")</f>
        <v>#VALUE!</v>
      </c>
      <c r="HE7" t="e">
        <f>AND('score card (2)'!W70,"AAAAAH/zv9Q=")</f>
        <v>#VALUE!</v>
      </c>
      <c r="HF7" t="e">
        <f>AND('score card (2)'!X70,"AAAAAH/zv9U=")</f>
        <v>#VALUE!</v>
      </c>
      <c r="HG7">
        <f>IF('score card (2)'!71:71,"AAAAAH/zv9Y=",0)</f>
        <v>0</v>
      </c>
      <c r="HH7" t="e">
        <f>AND('score card (2)'!A71,"AAAAAH/zv9c=")</f>
        <v>#VALUE!</v>
      </c>
      <c r="HI7" t="e">
        <f>AND('score card (2)'!B71,"AAAAAH/zv9g=")</f>
        <v>#VALUE!</v>
      </c>
      <c r="HJ7" t="e">
        <f>AND('score card (2)'!C71,"AAAAAH/zv9k=")</f>
        <v>#VALUE!</v>
      </c>
      <c r="HK7" t="e">
        <f>AND('score card (2)'!D71,"AAAAAH/zv9o=")</f>
        <v>#VALUE!</v>
      </c>
      <c r="HL7" t="e">
        <f>AND('score card (2)'!E71,"AAAAAH/zv9s=")</f>
        <v>#VALUE!</v>
      </c>
      <c r="HM7" t="e">
        <f>AND('score card (2)'!F71,"AAAAAH/zv9w=")</f>
        <v>#VALUE!</v>
      </c>
      <c r="HN7" t="e">
        <f>AND('score card (2)'!G71,"AAAAAH/zv90=")</f>
        <v>#VALUE!</v>
      </c>
      <c r="HO7" t="e">
        <f>AND('score card (2)'!H71,"AAAAAH/zv94=")</f>
        <v>#VALUE!</v>
      </c>
      <c r="HP7" t="e">
        <f>AND('score card (2)'!I71,"AAAAAH/zv98=")</f>
        <v>#VALUE!</v>
      </c>
      <c r="HQ7" t="e">
        <f>AND('score card (2)'!J71,"AAAAAH/zv+A=")</f>
        <v>#VALUE!</v>
      </c>
      <c r="HR7" t="e">
        <f>AND('score card (2)'!K71,"AAAAAH/zv+E=")</f>
        <v>#VALUE!</v>
      </c>
      <c r="HS7" t="e">
        <f>AND('score card (2)'!L71,"AAAAAH/zv+I=")</f>
        <v>#VALUE!</v>
      </c>
      <c r="HT7" t="e">
        <f>AND('score card (2)'!M71,"AAAAAH/zv+M=")</f>
        <v>#VALUE!</v>
      </c>
      <c r="HU7" t="e">
        <f>AND('score card (2)'!N71,"AAAAAH/zv+Q=")</f>
        <v>#VALUE!</v>
      </c>
      <c r="HV7" t="e">
        <f>AND('score card (2)'!O71,"AAAAAH/zv+U=")</f>
        <v>#VALUE!</v>
      </c>
      <c r="HW7" t="e">
        <f>AND('score card (2)'!P71,"AAAAAH/zv+Y=")</f>
        <v>#VALUE!</v>
      </c>
      <c r="HX7" t="e">
        <f>AND('score card (2)'!Q71,"AAAAAH/zv+c=")</f>
        <v>#VALUE!</v>
      </c>
      <c r="HY7" t="e">
        <f>AND('score card (2)'!R71,"AAAAAH/zv+g=")</f>
        <v>#VALUE!</v>
      </c>
      <c r="HZ7" t="e">
        <f>AND('score card (2)'!S71,"AAAAAH/zv+k=")</f>
        <v>#VALUE!</v>
      </c>
      <c r="IA7" t="e">
        <f>AND('score card (2)'!T71,"AAAAAH/zv+o=")</f>
        <v>#VALUE!</v>
      </c>
      <c r="IB7" t="e">
        <f>AND('score card (2)'!U71,"AAAAAH/zv+s=")</f>
        <v>#VALUE!</v>
      </c>
      <c r="IC7" t="e">
        <f>AND('score card (2)'!V71,"AAAAAH/zv+w=")</f>
        <v>#VALUE!</v>
      </c>
      <c r="ID7" t="e">
        <f>AND('score card (2)'!W71,"AAAAAH/zv+0=")</f>
        <v>#VALUE!</v>
      </c>
      <c r="IE7" t="e">
        <f>AND('score card (2)'!X71,"AAAAAH/zv+4=")</f>
        <v>#VALUE!</v>
      </c>
      <c r="IF7">
        <f>IF('score card (2)'!72:72,"AAAAAH/zv+8=",0)</f>
        <v>0</v>
      </c>
      <c r="IG7" t="e">
        <f>AND('score card (2)'!A72,"AAAAAH/zv/A=")</f>
        <v>#VALUE!</v>
      </c>
      <c r="IH7" t="e">
        <f>AND('score card (2)'!B72,"AAAAAH/zv/E=")</f>
        <v>#VALUE!</v>
      </c>
      <c r="II7" t="e">
        <f>AND('score card (2)'!C72,"AAAAAH/zv/I=")</f>
        <v>#VALUE!</v>
      </c>
      <c r="IJ7" t="e">
        <f>AND('score card (2)'!D72,"AAAAAH/zv/M=")</f>
        <v>#VALUE!</v>
      </c>
      <c r="IK7" t="e">
        <f>AND('score card (2)'!E72,"AAAAAH/zv/Q=")</f>
        <v>#VALUE!</v>
      </c>
      <c r="IL7" t="e">
        <f>AND('score card (2)'!F72,"AAAAAH/zv/U=")</f>
        <v>#VALUE!</v>
      </c>
      <c r="IM7" t="e">
        <f>AND('score card (2)'!G72,"AAAAAH/zv/Y=")</f>
        <v>#VALUE!</v>
      </c>
      <c r="IN7" t="e">
        <f>AND('score card (2)'!H72,"AAAAAH/zv/c=")</f>
        <v>#VALUE!</v>
      </c>
      <c r="IO7" t="e">
        <f>AND('score card (2)'!I72,"AAAAAH/zv/g=")</f>
        <v>#VALUE!</v>
      </c>
      <c r="IP7" t="e">
        <f>AND('score card (2)'!J72,"AAAAAH/zv/k=")</f>
        <v>#VALUE!</v>
      </c>
      <c r="IQ7" t="e">
        <f>AND('score card (2)'!K72,"AAAAAH/zv/o=")</f>
        <v>#VALUE!</v>
      </c>
      <c r="IR7" t="e">
        <f>AND('score card (2)'!L72,"AAAAAH/zv/s=")</f>
        <v>#VALUE!</v>
      </c>
      <c r="IS7" t="e">
        <f>AND('score card (2)'!M72,"AAAAAH/zv/w=")</f>
        <v>#VALUE!</v>
      </c>
      <c r="IT7" t="e">
        <f>AND('score card (2)'!N72,"AAAAAH/zv/0=")</f>
        <v>#VALUE!</v>
      </c>
      <c r="IU7" t="e">
        <f>AND('score card (2)'!O72,"AAAAAH/zv/4=")</f>
        <v>#VALUE!</v>
      </c>
      <c r="IV7" t="e">
        <f>AND('score card (2)'!P72,"AAAAAH/zv/8=")</f>
        <v>#VALUE!</v>
      </c>
    </row>
    <row r="8" spans="1:256" ht="12.75">
      <c r="A8" t="e">
        <f>AND('score card (2)'!Q72,"AAAAAH/6PwA=")</f>
        <v>#VALUE!</v>
      </c>
      <c r="B8" t="e">
        <f>AND('score card (2)'!R72,"AAAAAH/6PwE=")</f>
        <v>#VALUE!</v>
      </c>
      <c r="C8" t="e">
        <f>AND('score card (2)'!S72,"AAAAAH/6PwI=")</f>
        <v>#VALUE!</v>
      </c>
      <c r="D8" t="e">
        <f>AND('score card (2)'!T72,"AAAAAH/6PwM=")</f>
        <v>#VALUE!</v>
      </c>
      <c r="E8" t="e">
        <f>AND('score card (2)'!U72,"AAAAAH/6PwQ=")</f>
        <v>#VALUE!</v>
      </c>
      <c r="F8" t="e">
        <f>AND('score card (2)'!V72,"AAAAAH/6PwU=")</f>
        <v>#VALUE!</v>
      </c>
      <c r="G8" t="e">
        <f>AND('score card (2)'!W72,"AAAAAH/6PwY=")</f>
        <v>#VALUE!</v>
      </c>
      <c r="H8" t="e">
        <f>AND('score card (2)'!X72,"AAAAAH/6Pwc=")</f>
        <v>#VALUE!</v>
      </c>
      <c r="I8">
        <f>IF('score card (2)'!73:73,"AAAAAH/6Pwg=",0)</f>
        <v>0</v>
      </c>
      <c r="J8" t="e">
        <f>AND('score card (2)'!A73,"AAAAAH/6Pwk=")</f>
        <v>#VALUE!</v>
      </c>
      <c r="K8" t="e">
        <f>AND('score card (2)'!B73,"AAAAAH/6Pwo=")</f>
        <v>#VALUE!</v>
      </c>
      <c r="L8" t="e">
        <f>AND('score card (2)'!C73,"AAAAAH/6Pws=")</f>
        <v>#VALUE!</v>
      </c>
      <c r="M8" t="e">
        <f>AND('score card (2)'!D73,"AAAAAH/6Pww=")</f>
        <v>#VALUE!</v>
      </c>
      <c r="N8" t="e">
        <f>AND('score card (2)'!E73,"AAAAAH/6Pw0=")</f>
        <v>#VALUE!</v>
      </c>
      <c r="O8" t="e">
        <f>AND('score card (2)'!F73,"AAAAAH/6Pw4=")</f>
        <v>#VALUE!</v>
      </c>
      <c r="P8" t="e">
        <f>AND('score card (2)'!G73,"AAAAAH/6Pw8=")</f>
        <v>#VALUE!</v>
      </c>
      <c r="Q8" t="e">
        <f>AND('score card (2)'!H73,"AAAAAH/6PxA=")</f>
        <v>#VALUE!</v>
      </c>
      <c r="R8" t="e">
        <f>AND('score card (2)'!I73,"AAAAAH/6PxE=")</f>
        <v>#VALUE!</v>
      </c>
      <c r="S8" t="e">
        <f>AND('score card (2)'!J73,"AAAAAH/6PxI=")</f>
        <v>#VALUE!</v>
      </c>
      <c r="T8" t="e">
        <f>AND('score card (2)'!K73,"AAAAAH/6PxM=")</f>
        <v>#VALUE!</v>
      </c>
      <c r="U8" t="e">
        <f>AND('score card (2)'!L73,"AAAAAH/6PxQ=")</f>
        <v>#VALUE!</v>
      </c>
      <c r="V8" t="e">
        <f>AND('score card (2)'!M73,"AAAAAH/6PxU=")</f>
        <v>#VALUE!</v>
      </c>
      <c r="W8" t="e">
        <f>AND('score card (2)'!N73,"AAAAAH/6PxY=")</f>
        <v>#VALUE!</v>
      </c>
      <c r="X8" t="e">
        <f>AND('score card (2)'!O73,"AAAAAH/6Pxc=")</f>
        <v>#VALUE!</v>
      </c>
      <c r="Y8" t="e">
        <f>AND('score card (2)'!P73,"AAAAAH/6Pxg=")</f>
        <v>#VALUE!</v>
      </c>
      <c r="Z8" t="e">
        <f>AND('score card (2)'!Q73,"AAAAAH/6Pxk=")</f>
        <v>#VALUE!</v>
      </c>
      <c r="AA8" t="e">
        <f>AND('score card (2)'!R73,"AAAAAH/6Pxo=")</f>
        <v>#VALUE!</v>
      </c>
      <c r="AB8" t="e">
        <f>AND('score card (2)'!S73,"AAAAAH/6Pxs=")</f>
        <v>#VALUE!</v>
      </c>
      <c r="AC8" t="e">
        <f>AND('score card (2)'!T73,"AAAAAH/6Pxw=")</f>
        <v>#VALUE!</v>
      </c>
      <c r="AD8" t="e">
        <f>AND('score card (2)'!U73,"AAAAAH/6Px0=")</f>
        <v>#VALUE!</v>
      </c>
      <c r="AE8" t="e">
        <f>AND('score card (2)'!V73,"AAAAAH/6Px4=")</f>
        <v>#VALUE!</v>
      </c>
      <c r="AF8" t="e">
        <f>AND('score card (2)'!W73,"AAAAAH/6Px8=")</f>
        <v>#VALUE!</v>
      </c>
      <c r="AG8" t="e">
        <f>AND('score card (2)'!X73,"AAAAAH/6PyA=")</f>
        <v>#VALUE!</v>
      </c>
      <c r="AH8">
        <f>IF('score card (2)'!74:74,"AAAAAH/6PyE=",0)</f>
        <v>0</v>
      </c>
      <c r="AI8" t="e">
        <f>AND('score card (2)'!A74,"AAAAAH/6PyI=")</f>
        <v>#VALUE!</v>
      </c>
      <c r="AJ8" t="e">
        <f>AND('score card (2)'!B74,"AAAAAH/6PyM=")</f>
        <v>#VALUE!</v>
      </c>
      <c r="AK8" t="e">
        <f>AND('score card (2)'!C74,"AAAAAH/6PyQ=")</f>
        <v>#VALUE!</v>
      </c>
      <c r="AL8" t="e">
        <f>AND('score card (2)'!D74,"AAAAAH/6PyU=")</f>
        <v>#VALUE!</v>
      </c>
      <c r="AM8" t="e">
        <f>AND('score card (2)'!E74,"AAAAAH/6PyY=")</f>
        <v>#VALUE!</v>
      </c>
      <c r="AN8" t="e">
        <f>AND('score card (2)'!F74,"AAAAAH/6Pyc=")</f>
        <v>#VALUE!</v>
      </c>
      <c r="AO8" t="e">
        <f>AND('score card (2)'!G74,"AAAAAH/6Pyg=")</f>
        <v>#VALUE!</v>
      </c>
      <c r="AP8" t="e">
        <f>AND('score card (2)'!H74,"AAAAAH/6Pyk=")</f>
        <v>#VALUE!</v>
      </c>
      <c r="AQ8" t="e">
        <f>AND('score card (2)'!I74,"AAAAAH/6Pyo=")</f>
        <v>#VALUE!</v>
      </c>
      <c r="AR8" t="e">
        <f>AND('score card (2)'!J74,"AAAAAH/6Pys=")</f>
        <v>#VALUE!</v>
      </c>
      <c r="AS8" t="e">
        <f>AND('score card (2)'!K74,"AAAAAH/6Pyw=")</f>
        <v>#VALUE!</v>
      </c>
      <c r="AT8" t="e">
        <f>AND('score card (2)'!L74,"AAAAAH/6Py0=")</f>
        <v>#VALUE!</v>
      </c>
      <c r="AU8" t="e">
        <f>AND('score card (2)'!M74,"AAAAAH/6Py4=")</f>
        <v>#VALUE!</v>
      </c>
      <c r="AV8" t="e">
        <f>AND('score card (2)'!N74,"AAAAAH/6Py8=")</f>
        <v>#VALUE!</v>
      </c>
      <c r="AW8" t="e">
        <f>AND('score card (2)'!O74,"AAAAAH/6PzA=")</f>
        <v>#VALUE!</v>
      </c>
      <c r="AX8" t="e">
        <f>AND('score card (2)'!P74,"AAAAAH/6PzE=")</f>
        <v>#VALUE!</v>
      </c>
      <c r="AY8" t="e">
        <f>AND('score card (2)'!Q74,"AAAAAH/6PzI=")</f>
        <v>#VALUE!</v>
      </c>
      <c r="AZ8" t="e">
        <f>AND('score card (2)'!R74,"AAAAAH/6PzM=")</f>
        <v>#VALUE!</v>
      </c>
      <c r="BA8" t="e">
        <f>AND('score card (2)'!S74,"AAAAAH/6PzQ=")</f>
        <v>#VALUE!</v>
      </c>
      <c r="BB8" t="e">
        <f>AND('score card (2)'!T74,"AAAAAH/6PzU=")</f>
        <v>#VALUE!</v>
      </c>
      <c r="BC8" t="e">
        <f>AND('score card (2)'!U74,"AAAAAH/6PzY=")</f>
        <v>#VALUE!</v>
      </c>
      <c r="BD8" t="e">
        <f>AND('score card (2)'!V74,"AAAAAH/6Pzc=")</f>
        <v>#VALUE!</v>
      </c>
      <c r="BE8" t="e">
        <f>AND('score card (2)'!W74,"AAAAAH/6Pzg=")</f>
        <v>#VALUE!</v>
      </c>
      <c r="BF8" t="e">
        <f>AND('score card (2)'!X74,"AAAAAH/6Pzk=")</f>
        <v>#VALUE!</v>
      </c>
      <c r="BG8">
        <f>IF('score card (2)'!75:75,"AAAAAH/6Pzo=",0)</f>
        <v>0</v>
      </c>
      <c r="BH8" t="e">
        <f>AND('score card (2)'!A75,"AAAAAH/6Pzs=")</f>
        <v>#VALUE!</v>
      </c>
      <c r="BI8" t="e">
        <f>AND('score card (2)'!B75,"AAAAAH/6Pzw=")</f>
        <v>#VALUE!</v>
      </c>
      <c r="BJ8" t="e">
        <f>AND('score card (2)'!C75,"AAAAAH/6Pz0=")</f>
        <v>#VALUE!</v>
      </c>
      <c r="BK8" t="e">
        <f>AND('score card (2)'!D75,"AAAAAH/6Pz4=")</f>
        <v>#VALUE!</v>
      </c>
      <c r="BL8" t="e">
        <f>AND('score card (2)'!E75,"AAAAAH/6Pz8=")</f>
        <v>#VALUE!</v>
      </c>
      <c r="BM8" t="e">
        <f>AND('score card (2)'!F75,"AAAAAH/6P0A=")</f>
        <v>#VALUE!</v>
      </c>
      <c r="BN8" t="e">
        <f>AND('score card (2)'!G75,"AAAAAH/6P0E=")</f>
        <v>#VALUE!</v>
      </c>
      <c r="BO8" t="e">
        <f>AND('score card (2)'!H75,"AAAAAH/6P0I=")</f>
        <v>#VALUE!</v>
      </c>
      <c r="BP8" t="e">
        <f>AND('score card (2)'!I75,"AAAAAH/6P0M=")</f>
        <v>#VALUE!</v>
      </c>
      <c r="BQ8" t="e">
        <f>AND('score card (2)'!J75,"AAAAAH/6P0Q=")</f>
        <v>#VALUE!</v>
      </c>
      <c r="BR8" t="e">
        <f>AND('score card (2)'!K75,"AAAAAH/6P0U=")</f>
        <v>#VALUE!</v>
      </c>
      <c r="BS8" t="e">
        <f>AND('score card (2)'!L75,"AAAAAH/6P0Y=")</f>
        <v>#VALUE!</v>
      </c>
      <c r="BT8" t="e">
        <f>AND('score card (2)'!M75,"AAAAAH/6P0c=")</f>
        <v>#VALUE!</v>
      </c>
      <c r="BU8" t="e">
        <f>AND('score card (2)'!N75,"AAAAAH/6P0g=")</f>
        <v>#VALUE!</v>
      </c>
      <c r="BV8" t="e">
        <f>AND('score card (2)'!O75,"AAAAAH/6P0k=")</f>
        <v>#VALUE!</v>
      </c>
      <c r="BW8" t="e">
        <f>AND('score card (2)'!P75,"AAAAAH/6P0o=")</f>
        <v>#VALUE!</v>
      </c>
      <c r="BX8" t="e">
        <f>AND('score card (2)'!Q75,"AAAAAH/6P0s=")</f>
        <v>#VALUE!</v>
      </c>
      <c r="BY8" t="e">
        <f>AND('score card (2)'!R75,"AAAAAH/6P0w=")</f>
        <v>#VALUE!</v>
      </c>
      <c r="BZ8" t="e">
        <f>AND('score card (2)'!S75,"AAAAAH/6P00=")</f>
        <v>#VALUE!</v>
      </c>
      <c r="CA8" t="e">
        <f>AND('score card (2)'!T75,"AAAAAH/6P04=")</f>
        <v>#VALUE!</v>
      </c>
      <c r="CB8" t="e">
        <f>AND('score card (2)'!U75,"AAAAAH/6P08=")</f>
        <v>#VALUE!</v>
      </c>
      <c r="CC8" t="e">
        <f>AND('score card (2)'!V75,"AAAAAH/6P1A=")</f>
        <v>#VALUE!</v>
      </c>
      <c r="CD8" t="e">
        <f>AND('score card (2)'!W75,"AAAAAH/6P1E=")</f>
        <v>#VALUE!</v>
      </c>
      <c r="CE8" t="e">
        <f>AND('score card (2)'!X75,"AAAAAH/6P1I=")</f>
        <v>#VALUE!</v>
      </c>
      <c r="CF8">
        <f>IF('score card (2)'!76:76,"AAAAAH/6P1M=",0)</f>
        <v>0</v>
      </c>
      <c r="CG8" t="e">
        <f>AND('score card (2)'!A76,"AAAAAH/6P1Q=")</f>
        <v>#VALUE!</v>
      </c>
      <c r="CH8" t="e">
        <f>AND('score card (2)'!B76,"AAAAAH/6P1U=")</f>
        <v>#VALUE!</v>
      </c>
      <c r="CI8" t="e">
        <f>AND('score card (2)'!C76,"AAAAAH/6P1Y=")</f>
        <v>#VALUE!</v>
      </c>
      <c r="CJ8" t="e">
        <f>AND('score card (2)'!D76,"AAAAAH/6P1c=")</f>
        <v>#VALUE!</v>
      </c>
      <c r="CK8" t="e">
        <f>AND('score card (2)'!E76,"AAAAAH/6P1g=")</f>
        <v>#VALUE!</v>
      </c>
      <c r="CL8" t="e">
        <f>AND('score card (2)'!F76,"AAAAAH/6P1k=")</f>
        <v>#VALUE!</v>
      </c>
      <c r="CM8" t="e">
        <f>AND('score card (2)'!G76,"AAAAAH/6P1o=")</f>
        <v>#VALUE!</v>
      </c>
      <c r="CN8" t="e">
        <f>AND('score card (2)'!H76,"AAAAAH/6P1s=")</f>
        <v>#VALUE!</v>
      </c>
      <c r="CO8" t="e">
        <f>AND('score card (2)'!I76,"AAAAAH/6P1w=")</f>
        <v>#VALUE!</v>
      </c>
      <c r="CP8" t="e">
        <f>AND('score card (2)'!J76,"AAAAAH/6P10=")</f>
        <v>#VALUE!</v>
      </c>
      <c r="CQ8" t="e">
        <f>AND('score card (2)'!K76,"AAAAAH/6P14=")</f>
        <v>#VALUE!</v>
      </c>
      <c r="CR8" t="e">
        <f>AND('score card (2)'!L76,"AAAAAH/6P18=")</f>
        <v>#VALUE!</v>
      </c>
      <c r="CS8" t="e">
        <f>AND('score card (2)'!M76,"AAAAAH/6P2A=")</f>
        <v>#VALUE!</v>
      </c>
      <c r="CT8" t="e">
        <f>AND('score card (2)'!N76,"AAAAAH/6P2E=")</f>
        <v>#VALUE!</v>
      </c>
      <c r="CU8" t="e">
        <f>AND('score card (2)'!O76,"AAAAAH/6P2I=")</f>
        <v>#VALUE!</v>
      </c>
      <c r="CV8" t="e">
        <f>AND('score card (2)'!P76,"AAAAAH/6P2M=")</f>
        <v>#VALUE!</v>
      </c>
      <c r="CW8" t="e">
        <f>AND('score card (2)'!Q76,"AAAAAH/6P2Q=")</f>
        <v>#VALUE!</v>
      </c>
      <c r="CX8" t="e">
        <f>AND('score card (2)'!R76,"AAAAAH/6P2U=")</f>
        <v>#VALUE!</v>
      </c>
      <c r="CY8" t="e">
        <f>AND('score card (2)'!S76,"AAAAAH/6P2Y=")</f>
        <v>#VALUE!</v>
      </c>
      <c r="CZ8" t="e">
        <f>AND('score card (2)'!T76,"AAAAAH/6P2c=")</f>
        <v>#VALUE!</v>
      </c>
      <c r="DA8" t="e">
        <f>AND('score card (2)'!U76,"AAAAAH/6P2g=")</f>
        <v>#VALUE!</v>
      </c>
      <c r="DB8" t="e">
        <f>AND('score card (2)'!V76,"AAAAAH/6P2k=")</f>
        <v>#VALUE!</v>
      </c>
      <c r="DC8" t="e">
        <f>AND('score card (2)'!W76,"AAAAAH/6P2o=")</f>
        <v>#VALUE!</v>
      </c>
      <c r="DD8" t="e">
        <f>AND('score card (2)'!X76,"AAAAAH/6P2s=")</f>
        <v>#VALUE!</v>
      </c>
      <c r="DE8">
        <f>IF('score card (2)'!77:77,"AAAAAH/6P2w=",0)</f>
        <v>0</v>
      </c>
      <c r="DF8" t="e">
        <f>AND('score card (2)'!A77,"AAAAAH/6P20=")</f>
        <v>#VALUE!</v>
      </c>
      <c r="DG8" t="e">
        <f>AND('score card (2)'!B77,"AAAAAH/6P24=")</f>
        <v>#VALUE!</v>
      </c>
      <c r="DH8" t="e">
        <f>AND('score card (2)'!C77,"AAAAAH/6P28=")</f>
        <v>#VALUE!</v>
      </c>
      <c r="DI8" t="e">
        <f>AND('score card (2)'!D77,"AAAAAH/6P3A=")</f>
        <v>#VALUE!</v>
      </c>
      <c r="DJ8" t="e">
        <f>AND('score card (2)'!E77,"AAAAAH/6P3E=")</f>
        <v>#VALUE!</v>
      </c>
      <c r="DK8" t="e">
        <f>AND('score card (2)'!F77,"AAAAAH/6P3I=")</f>
        <v>#VALUE!</v>
      </c>
      <c r="DL8" t="e">
        <f>AND('score card (2)'!G77,"AAAAAH/6P3M=")</f>
        <v>#VALUE!</v>
      </c>
      <c r="DM8" t="e">
        <f>AND('score card (2)'!H77,"AAAAAH/6P3Q=")</f>
        <v>#VALUE!</v>
      </c>
      <c r="DN8" t="e">
        <f>AND('score card (2)'!I77,"AAAAAH/6P3U=")</f>
        <v>#VALUE!</v>
      </c>
      <c r="DO8" t="e">
        <f>AND('score card (2)'!J77,"AAAAAH/6P3Y=")</f>
        <v>#VALUE!</v>
      </c>
      <c r="DP8" t="e">
        <f>AND('score card (2)'!K77,"AAAAAH/6P3c=")</f>
        <v>#VALUE!</v>
      </c>
      <c r="DQ8" t="e">
        <f>AND('score card (2)'!L77,"AAAAAH/6P3g=")</f>
        <v>#VALUE!</v>
      </c>
      <c r="DR8" t="e">
        <f>AND('score card (2)'!M77,"AAAAAH/6P3k=")</f>
        <v>#VALUE!</v>
      </c>
      <c r="DS8" t="e">
        <f>AND('score card (2)'!N77,"AAAAAH/6P3o=")</f>
        <v>#VALUE!</v>
      </c>
      <c r="DT8" t="e">
        <f>AND('score card (2)'!O77,"AAAAAH/6P3s=")</f>
        <v>#VALUE!</v>
      </c>
      <c r="DU8" t="e">
        <f>AND('score card (2)'!P77,"AAAAAH/6P3w=")</f>
        <v>#VALUE!</v>
      </c>
      <c r="DV8" t="e">
        <f>AND('score card (2)'!Q77,"AAAAAH/6P30=")</f>
        <v>#VALUE!</v>
      </c>
      <c r="DW8" t="e">
        <f>AND('score card (2)'!R77,"AAAAAH/6P34=")</f>
        <v>#VALUE!</v>
      </c>
      <c r="DX8" t="e">
        <f>AND('score card (2)'!S77,"AAAAAH/6P38=")</f>
        <v>#VALUE!</v>
      </c>
      <c r="DY8" t="e">
        <f>AND('score card (2)'!T77,"AAAAAH/6P4A=")</f>
        <v>#VALUE!</v>
      </c>
      <c r="DZ8" t="e">
        <f>AND('score card (2)'!U77,"AAAAAH/6P4E=")</f>
        <v>#VALUE!</v>
      </c>
      <c r="EA8" t="e">
        <f>AND('score card (2)'!V77,"AAAAAH/6P4I=")</f>
        <v>#VALUE!</v>
      </c>
      <c r="EB8" t="e">
        <f>AND('score card (2)'!W77,"AAAAAH/6P4M=")</f>
        <v>#VALUE!</v>
      </c>
      <c r="EC8" t="e">
        <f>AND('score card (2)'!X77,"AAAAAH/6P4Q=")</f>
        <v>#VALUE!</v>
      </c>
      <c r="ED8">
        <f>IF('score card (2)'!78:78,"AAAAAH/6P4U=",0)</f>
        <v>0</v>
      </c>
      <c r="EE8" t="e">
        <f>AND('score card (2)'!A78,"AAAAAH/6P4Y=")</f>
        <v>#VALUE!</v>
      </c>
      <c r="EF8" t="e">
        <f>AND('score card (2)'!B78,"AAAAAH/6P4c=")</f>
        <v>#VALUE!</v>
      </c>
      <c r="EG8" t="e">
        <f>AND('score card (2)'!C78,"AAAAAH/6P4g=")</f>
        <v>#VALUE!</v>
      </c>
      <c r="EH8" t="e">
        <f>AND('score card (2)'!D78,"AAAAAH/6P4k=")</f>
        <v>#VALUE!</v>
      </c>
      <c r="EI8" t="e">
        <f>AND('score card (2)'!E78,"AAAAAH/6P4o=")</f>
        <v>#VALUE!</v>
      </c>
      <c r="EJ8" t="e">
        <f>AND('score card (2)'!F78,"AAAAAH/6P4s=")</f>
        <v>#VALUE!</v>
      </c>
      <c r="EK8" t="e">
        <f>AND('score card (2)'!G78,"AAAAAH/6P4w=")</f>
        <v>#VALUE!</v>
      </c>
      <c r="EL8" t="e">
        <f>AND('score card (2)'!H78,"AAAAAH/6P40=")</f>
        <v>#VALUE!</v>
      </c>
      <c r="EM8" t="e">
        <f>AND('score card (2)'!I78,"AAAAAH/6P44=")</f>
        <v>#VALUE!</v>
      </c>
      <c r="EN8" t="e">
        <f>AND('score card (2)'!J78,"AAAAAH/6P48=")</f>
        <v>#VALUE!</v>
      </c>
      <c r="EO8" t="e">
        <f>AND('score card (2)'!K78,"AAAAAH/6P5A=")</f>
        <v>#VALUE!</v>
      </c>
      <c r="EP8" t="e">
        <f>AND('score card (2)'!L78,"AAAAAH/6P5E=")</f>
        <v>#VALUE!</v>
      </c>
      <c r="EQ8" t="e">
        <f>AND('score card (2)'!M78,"AAAAAH/6P5I=")</f>
        <v>#VALUE!</v>
      </c>
      <c r="ER8" t="e">
        <f>AND('score card (2)'!N78,"AAAAAH/6P5M=")</f>
        <v>#VALUE!</v>
      </c>
      <c r="ES8" t="e">
        <f>AND('score card (2)'!O78,"AAAAAH/6P5Q=")</f>
        <v>#VALUE!</v>
      </c>
      <c r="ET8" t="e">
        <f>AND('score card (2)'!P78,"AAAAAH/6P5U=")</f>
        <v>#VALUE!</v>
      </c>
      <c r="EU8" t="e">
        <f>AND('score card (2)'!Q78,"AAAAAH/6P5Y=")</f>
        <v>#VALUE!</v>
      </c>
      <c r="EV8" t="e">
        <f>AND('score card (2)'!R78,"AAAAAH/6P5c=")</f>
        <v>#VALUE!</v>
      </c>
      <c r="EW8" t="e">
        <f>AND('score card (2)'!S78,"AAAAAH/6P5g=")</f>
        <v>#VALUE!</v>
      </c>
      <c r="EX8" t="e">
        <f>AND('score card (2)'!T78,"AAAAAH/6P5k=")</f>
        <v>#VALUE!</v>
      </c>
      <c r="EY8" t="e">
        <f>AND('score card (2)'!U78,"AAAAAH/6P5o=")</f>
        <v>#VALUE!</v>
      </c>
      <c r="EZ8" t="e">
        <f>AND('score card (2)'!V78,"AAAAAH/6P5s=")</f>
        <v>#VALUE!</v>
      </c>
      <c r="FA8" t="e">
        <f>AND('score card (2)'!W78,"AAAAAH/6P5w=")</f>
        <v>#VALUE!</v>
      </c>
      <c r="FB8" t="e">
        <f>AND('score card (2)'!X78,"AAAAAH/6P50=")</f>
        <v>#VALUE!</v>
      </c>
      <c r="FC8">
        <f>IF('score card (2)'!79:79,"AAAAAH/6P54=",0)</f>
        <v>0</v>
      </c>
      <c r="FD8" t="e">
        <f>AND('score card (2)'!A79,"AAAAAH/6P58=")</f>
        <v>#VALUE!</v>
      </c>
      <c r="FE8" t="e">
        <f>AND('score card (2)'!B79,"AAAAAH/6P6A=")</f>
        <v>#VALUE!</v>
      </c>
      <c r="FF8" t="e">
        <f>AND('score card (2)'!C79,"AAAAAH/6P6E=")</f>
        <v>#VALUE!</v>
      </c>
      <c r="FG8" t="e">
        <f>AND('score card (2)'!D79,"AAAAAH/6P6I=")</f>
        <v>#VALUE!</v>
      </c>
      <c r="FH8" t="e">
        <f>AND('score card (2)'!E79,"AAAAAH/6P6M=")</f>
        <v>#VALUE!</v>
      </c>
      <c r="FI8" t="e">
        <f>AND('score card (2)'!F79,"AAAAAH/6P6Q=")</f>
        <v>#VALUE!</v>
      </c>
      <c r="FJ8" t="e">
        <f>AND('score card (2)'!G79,"AAAAAH/6P6U=")</f>
        <v>#VALUE!</v>
      </c>
      <c r="FK8" t="e">
        <f>AND('score card (2)'!H79,"AAAAAH/6P6Y=")</f>
        <v>#VALUE!</v>
      </c>
      <c r="FL8" t="e">
        <f>AND('score card (2)'!I79,"AAAAAH/6P6c=")</f>
        <v>#VALUE!</v>
      </c>
      <c r="FM8" t="e">
        <f>AND('score card (2)'!J79,"AAAAAH/6P6g=")</f>
        <v>#VALUE!</v>
      </c>
      <c r="FN8" t="e">
        <f>AND('score card (2)'!K79,"AAAAAH/6P6k=")</f>
        <v>#VALUE!</v>
      </c>
      <c r="FO8" t="e">
        <f>AND('score card (2)'!L79,"AAAAAH/6P6o=")</f>
        <v>#VALUE!</v>
      </c>
      <c r="FP8" t="e">
        <f>AND('score card (2)'!M79,"AAAAAH/6P6s=")</f>
        <v>#VALUE!</v>
      </c>
      <c r="FQ8" t="e">
        <f>AND('score card (2)'!N79,"AAAAAH/6P6w=")</f>
        <v>#VALUE!</v>
      </c>
      <c r="FR8" t="e">
        <f>AND('score card (2)'!O79,"AAAAAH/6P60=")</f>
        <v>#VALUE!</v>
      </c>
      <c r="FS8" t="e">
        <f>AND('score card (2)'!P79,"AAAAAH/6P64=")</f>
        <v>#VALUE!</v>
      </c>
      <c r="FT8" t="e">
        <f>AND('score card (2)'!Q79,"AAAAAH/6P68=")</f>
        <v>#VALUE!</v>
      </c>
      <c r="FU8" t="e">
        <f>AND('score card (2)'!R79,"AAAAAH/6P7A=")</f>
        <v>#VALUE!</v>
      </c>
      <c r="FV8" t="e">
        <f>AND('score card (2)'!S79,"AAAAAH/6P7E=")</f>
        <v>#VALUE!</v>
      </c>
      <c r="FW8" t="e">
        <f>AND('score card (2)'!T79,"AAAAAH/6P7I=")</f>
        <v>#VALUE!</v>
      </c>
      <c r="FX8" t="e">
        <f>AND('score card (2)'!U79,"AAAAAH/6P7M=")</f>
        <v>#VALUE!</v>
      </c>
      <c r="FY8" t="e">
        <f>AND('score card (2)'!V79,"AAAAAH/6P7Q=")</f>
        <v>#VALUE!</v>
      </c>
      <c r="FZ8" t="e">
        <f>AND('score card (2)'!W79,"AAAAAH/6P7U=")</f>
        <v>#VALUE!</v>
      </c>
      <c r="GA8" t="e">
        <f>AND('score card (2)'!X79,"AAAAAH/6P7Y=")</f>
        <v>#VALUE!</v>
      </c>
      <c r="GB8">
        <f>IF('score card (2)'!80:80,"AAAAAH/6P7c=",0)</f>
        <v>0</v>
      </c>
      <c r="GC8" t="e">
        <f>AND('score card (2)'!A80,"AAAAAH/6P7g=")</f>
        <v>#VALUE!</v>
      </c>
      <c r="GD8" t="e">
        <f>AND('score card (2)'!B80,"AAAAAH/6P7k=")</f>
        <v>#VALUE!</v>
      </c>
      <c r="GE8" t="e">
        <f>AND('score card (2)'!C80,"AAAAAH/6P7o=")</f>
        <v>#VALUE!</v>
      </c>
      <c r="GF8" t="e">
        <f>AND('score card (2)'!D80,"AAAAAH/6P7s=")</f>
        <v>#VALUE!</v>
      </c>
      <c r="GG8" t="e">
        <f>AND('score card (2)'!E80,"AAAAAH/6P7w=")</f>
        <v>#VALUE!</v>
      </c>
      <c r="GH8" t="e">
        <f>AND('score card (2)'!F80,"AAAAAH/6P70=")</f>
        <v>#VALUE!</v>
      </c>
      <c r="GI8" t="e">
        <f>AND('score card (2)'!G80,"AAAAAH/6P74=")</f>
        <v>#VALUE!</v>
      </c>
      <c r="GJ8" t="e">
        <f>AND('score card (2)'!H80,"AAAAAH/6P78=")</f>
        <v>#VALUE!</v>
      </c>
      <c r="GK8" t="e">
        <f>AND('score card (2)'!I80,"AAAAAH/6P8A=")</f>
        <v>#VALUE!</v>
      </c>
      <c r="GL8" t="e">
        <f>AND('score card (2)'!J80,"AAAAAH/6P8E=")</f>
        <v>#VALUE!</v>
      </c>
      <c r="GM8" t="e">
        <f>AND('score card (2)'!K80,"AAAAAH/6P8I=")</f>
        <v>#VALUE!</v>
      </c>
      <c r="GN8" t="e">
        <f>AND('score card (2)'!L80,"AAAAAH/6P8M=")</f>
        <v>#VALUE!</v>
      </c>
      <c r="GO8" t="e">
        <f>AND('score card (2)'!M80,"AAAAAH/6P8Q=")</f>
        <v>#VALUE!</v>
      </c>
      <c r="GP8" t="e">
        <f>AND('score card (2)'!N80,"AAAAAH/6P8U=")</f>
        <v>#VALUE!</v>
      </c>
      <c r="GQ8" t="e">
        <f>AND('score card (2)'!O80,"AAAAAH/6P8Y=")</f>
        <v>#VALUE!</v>
      </c>
      <c r="GR8" t="e">
        <f>AND('score card (2)'!P80,"AAAAAH/6P8c=")</f>
        <v>#VALUE!</v>
      </c>
      <c r="GS8" t="e">
        <f>AND('score card (2)'!Q80,"AAAAAH/6P8g=")</f>
        <v>#VALUE!</v>
      </c>
      <c r="GT8" t="e">
        <f>AND('score card (2)'!R80,"AAAAAH/6P8k=")</f>
        <v>#VALUE!</v>
      </c>
      <c r="GU8" t="e">
        <f>AND('score card (2)'!S80,"AAAAAH/6P8o=")</f>
        <v>#VALUE!</v>
      </c>
      <c r="GV8" t="e">
        <f>AND('score card (2)'!T80,"AAAAAH/6P8s=")</f>
        <v>#VALUE!</v>
      </c>
      <c r="GW8" t="e">
        <f>AND('score card (2)'!U80,"AAAAAH/6P8w=")</f>
        <v>#VALUE!</v>
      </c>
      <c r="GX8" t="e">
        <f>AND('score card (2)'!V80,"AAAAAH/6P80=")</f>
        <v>#VALUE!</v>
      </c>
      <c r="GY8" t="e">
        <f>AND('score card (2)'!W80,"AAAAAH/6P84=")</f>
        <v>#VALUE!</v>
      </c>
      <c r="GZ8" t="e">
        <f>AND('score card (2)'!X80,"AAAAAH/6P88=")</f>
        <v>#VALUE!</v>
      </c>
      <c r="HA8">
        <f>IF('score card (2)'!81:81,"AAAAAH/6P9A=",0)</f>
        <v>0</v>
      </c>
      <c r="HB8" t="e">
        <f>AND('score card (2)'!A81,"AAAAAH/6P9E=")</f>
        <v>#VALUE!</v>
      </c>
      <c r="HC8" t="e">
        <f>AND('score card (2)'!B81,"AAAAAH/6P9I=")</f>
        <v>#VALUE!</v>
      </c>
      <c r="HD8" t="e">
        <f>AND('score card (2)'!C81,"AAAAAH/6P9M=")</f>
        <v>#VALUE!</v>
      </c>
      <c r="HE8" t="e">
        <f>AND('score card (2)'!D81,"AAAAAH/6P9Q=")</f>
        <v>#VALUE!</v>
      </c>
      <c r="HF8" t="e">
        <f>AND('score card (2)'!E81,"AAAAAH/6P9U=")</f>
        <v>#VALUE!</v>
      </c>
      <c r="HG8" t="e">
        <f>AND('score card (2)'!F81,"AAAAAH/6P9Y=")</f>
        <v>#VALUE!</v>
      </c>
      <c r="HH8" t="e">
        <f>AND('score card (2)'!G81,"AAAAAH/6P9c=")</f>
        <v>#VALUE!</v>
      </c>
      <c r="HI8" t="e">
        <f>AND('score card (2)'!H81,"AAAAAH/6P9g=")</f>
        <v>#VALUE!</v>
      </c>
      <c r="HJ8" t="e">
        <f>AND('score card (2)'!I81,"AAAAAH/6P9k=")</f>
        <v>#VALUE!</v>
      </c>
      <c r="HK8" t="e">
        <f>AND('score card (2)'!J81,"AAAAAH/6P9o=")</f>
        <v>#VALUE!</v>
      </c>
      <c r="HL8" t="e">
        <f>AND('score card (2)'!K81,"AAAAAH/6P9s=")</f>
        <v>#VALUE!</v>
      </c>
      <c r="HM8" t="e">
        <f>AND('score card (2)'!L81,"AAAAAH/6P9w=")</f>
        <v>#VALUE!</v>
      </c>
      <c r="HN8" t="e">
        <f>AND('score card (2)'!M81,"AAAAAH/6P90=")</f>
        <v>#VALUE!</v>
      </c>
      <c r="HO8" t="e">
        <f>AND('score card (2)'!N81,"AAAAAH/6P94=")</f>
        <v>#VALUE!</v>
      </c>
      <c r="HP8" t="e">
        <f>AND('score card (2)'!O81,"AAAAAH/6P98=")</f>
        <v>#VALUE!</v>
      </c>
      <c r="HQ8" t="e">
        <f>AND('score card (2)'!P81,"AAAAAH/6P+A=")</f>
        <v>#VALUE!</v>
      </c>
      <c r="HR8" t="e">
        <f>AND('score card (2)'!Q81,"AAAAAH/6P+E=")</f>
        <v>#VALUE!</v>
      </c>
      <c r="HS8" t="e">
        <f>AND('score card (2)'!R81,"AAAAAH/6P+I=")</f>
        <v>#VALUE!</v>
      </c>
      <c r="HT8" t="e">
        <f>AND('score card (2)'!S81,"AAAAAH/6P+M=")</f>
        <v>#VALUE!</v>
      </c>
      <c r="HU8" t="e">
        <f>AND('score card (2)'!T81,"AAAAAH/6P+Q=")</f>
        <v>#VALUE!</v>
      </c>
      <c r="HV8" t="e">
        <f>AND('score card (2)'!U81,"AAAAAH/6P+U=")</f>
        <v>#VALUE!</v>
      </c>
      <c r="HW8" t="e">
        <f>AND('score card (2)'!V81,"AAAAAH/6P+Y=")</f>
        <v>#VALUE!</v>
      </c>
      <c r="HX8" t="e">
        <f>AND('score card (2)'!W81,"AAAAAH/6P+c=")</f>
        <v>#VALUE!</v>
      </c>
      <c r="HY8" t="e">
        <f>AND('score card (2)'!X81,"AAAAAH/6P+g=")</f>
        <v>#VALUE!</v>
      </c>
      <c r="HZ8">
        <f>IF('score card (2)'!82:82,"AAAAAH/6P+k=",0)</f>
        <v>0</v>
      </c>
      <c r="IA8" t="e">
        <f>AND('score card (2)'!A82,"AAAAAH/6P+o=")</f>
        <v>#VALUE!</v>
      </c>
      <c r="IB8" t="e">
        <f>AND('score card (2)'!B82,"AAAAAH/6P+s=")</f>
        <v>#VALUE!</v>
      </c>
      <c r="IC8" t="e">
        <f>AND('score card (2)'!C82,"AAAAAH/6P+w=")</f>
        <v>#VALUE!</v>
      </c>
      <c r="ID8" t="e">
        <f>AND('score card (2)'!D82,"AAAAAH/6P+0=")</f>
        <v>#VALUE!</v>
      </c>
      <c r="IE8" t="e">
        <f>AND('score card (2)'!E82,"AAAAAH/6P+4=")</f>
        <v>#VALUE!</v>
      </c>
      <c r="IF8" t="e">
        <f>AND('score card (2)'!F82,"AAAAAH/6P+8=")</f>
        <v>#VALUE!</v>
      </c>
      <c r="IG8" t="e">
        <f>AND('score card (2)'!G82,"AAAAAH/6P/A=")</f>
        <v>#VALUE!</v>
      </c>
      <c r="IH8" t="e">
        <f>AND('score card (2)'!H82,"AAAAAH/6P/E=")</f>
        <v>#VALUE!</v>
      </c>
      <c r="II8" t="e">
        <f>AND('score card (2)'!I82,"AAAAAH/6P/I=")</f>
        <v>#VALUE!</v>
      </c>
      <c r="IJ8" t="e">
        <f>AND('score card (2)'!J82,"AAAAAH/6P/M=")</f>
        <v>#VALUE!</v>
      </c>
      <c r="IK8" t="e">
        <f>AND('score card (2)'!K82,"AAAAAH/6P/Q=")</f>
        <v>#VALUE!</v>
      </c>
      <c r="IL8" t="e">
        <f>AND('score card (2)'!L82,"AAAAAH/6P/U=")</f>
        <v>#VALUE!</v>
      </c>
      <c r="IM8" t="e">
        <f>AND('score card (2)'!M82,"AAAAAH/6P/Y=")</f>
        <v>#VALUE!</v>
      </c>
      <c r="IN8" t="e">
        <f>AND('score card (2)'!N82,"AAAAAH/6P/c=")</f>
        <v>#VALUE!</v>
      </c>
      <c r="IO8" t="e">
        <f>AND('score card (2)'!O82,"AAAAAH/6P/g=")</f>
        <v>#VALUE!</v>
      </c>
      <c r="IP8" t="e">
        <f>AND('score card (2)'!P82,"AAAAAH/6P/k=")</f>
        <v>#VALUE!</v>
      </c>
      <c r="IQ8" t="e">
        <f>AND('score card (2)'!Q82,"AAAAAH/6P/o=")</f>
        <v>#VALUE!</v>
      </c>
      <c r="IR8" t="e">
        <f>AND('score card (2)'!R82,"AAAAAH/6P/s=")</f>
        <v>#VALUE!</v>
      </c>
      <c r="IS8" t="e">
        <f>AND('score card (2)'!S82,"AAAAAH/6P/w=")</f>
        <v>#VALUE!</v>
      </c>
      <c r="IT8" t="e">
        <f>AND('score card (2)'!T82,"AAAAAH/6P/0=")</f>
        <v>#VALUE!</v>
      </c>
      <c r="IU8" t="e">
        <f>AND('score card (2)'!U82,"AAAAAH/6P/4=")</f>
        <v>#VALUE!</v>
      </c>
      <c r="IV8" t="e">
        <f>AND('score card (2)'!V82,"AAAAAH/6P/8=")</f>
        <v>#VALUE!</v>
      </c>
    </row>
    <row r="9" spans="1:256" ht="12.75">
      <c r="A9" t="e">
        <f>AND('score card (2)'!W82,"AAAAAH/N8wA=")</f>
        <v>#VALUE!</v>
      </c>
      <c r="B9" t="e">
        <f>AND('score card (2)'!X82,"AAAAAH/N8wE=")</f>
        <v>#VALUE!</v>
      </c>
      <c r="C9">
        <f>IF('score card (2)'!83:83,"AAAAAH/N8wI=",0)</f>
        <v>0</v>
      </c>
      <c r="D9" t="e">
        <f>AND('score card (2)'!A83,"AAAAAH/N8wM=")</f>
        <v>#VALUE!</v>
      </c>
      <c r="E9" t="e">
        <f>AND('score card (2)'!B83,"AAAAAH/N8wQ=")</f>
        <v>#VALUE!</v>
      </c>
      <c r="F9" t="e">
        <f>AND('score card (2)'!C83,"AAAAAH/N8wU=")</f>
        <v>#VALUE!</v>
      </c>
      <c r="G9" t="e">
        <f>AND('score card (2)'!D83,"AAAAAH/N8wY=")</f>
        <v>#VALUE!</v>
      </c>
      <c r="H9" t="e">
        <f>AND('score card (2)'!E83,"AAAAAH/N8wc=")</f>
        <v>#VALUE!</v>
      </c>
      <c r="I9" t="e">
        <f>AND('score card (2)'!F83,"AAAAAH/N8wg=")</f>
        <v>#VALUE!</v>
      </c>
      <c r="J9" t="e">
        <f>AND('score card (2)'!G83,"AAAAAH/N8wk=")</f>
        <v>#VALUE!</v>
      </c>
      <c r="K9" t="e">
        <f>AND('score card (2)'!H83,"AAAAAH/N8wo=")</f>
        <v>#VALUE!</v>
      </c>
      <c r="L9" t="e">
        <f>AND('score card (2)'!I83,"AAAAAH/N8ws=")</f>
        <v>#VALUE!</v>
      </c>
      <c r="M9" t="e">
        <f>AND('score card (2)'!J83,"AAAAAH/N8ww=")</f>
        <v>#VALUE!</v>
      </c>
      <c r="N9" t="e">
        <f>AND('score card (2)'!K83,"AAAAAH/N8w0=")</f>
        <v>#VALUE!</v>
      </c>
      <c r="O9" t="e">
        <f>AND('score card (2)'!L83,"AAAAAH/N8w4=")</f>
        <v>#VALUE!</v>
      </c>
      <c r="P9" t="e">
        <f>AND('score card (2)'!M83,"AAAAAH/N8w8=")</f>
        <v>#VALUE!</v>
      </c>
      <c r="Q9" t="e">
        <f>AND('score card (2)'!N83,"AAAAAH/N8xA=")</f>
        <v>#VALUE!</v>
      </c>
      <c r="R9" t="e">
        <f>AND('score card (2)'!O83,"AAAAAH/N8xE=")</f>
        <v>#VALUE!</v>
      </c>
      <c r="S9" t="e">
        <f>AND('score card (2)'!P83,"AAAAAH/N8xI=")</f>
        <v>#VALUE!</v>
      </c>
      <c r="T9" t="e">
        <f>AND('score card (2)'!Q83,"AAAAAH/N8xM=")</f>
        <v>#VALUE!</v>
      </c>
      <c r="U9" t="e">
        <f>AND('score card (2)'!R83,"AAAAAH/N8xQ=")</f>
        <v>#VALUE!</v>
      </c>
      <c r="V9" t="e">
        <f>AND('score card (2)'!S83,"AAAAAH/N8xU=")</f>
        <v>#VALUE!</v>
      </c>
      <c r="W9" t="e">
        <f>AND('score card (2)'!T83,"AAAAAH/N8xY=")</f>
        <v>#VALUE!</v>
      </c>
      <c r="X9" t="e">
        <f>AND('score card (2)'!U83,"AAAAAH/N8xc=")</f>
        <v>#VALUE!</v>
      </c>
      <c r="Y9" t="e">
        <f>AND('score card (2)'!V83,"AAAAAH/N8xg=")</f>
        <v>#VALUE!</v>
      </c>
      <c r="Z9" t="e">
        <f>AND('score card (2)'!W83,"AAAAAH/N8xk=")</f>
        <v>#VALUE!</v>
      </c>
      <c r="AA9" t="e">
        <f>AND('score card (2)'!X83,"AAAAAH/N8xo=")</f>
        <v>#VALUE!</v>
      </c>
      <c r="AB9">
        <f>IF('score card (2)'!84:84,"AAAAAH/N8xs=",0)</f>
        <v>0</v>
      </c>
      <c r="AC9" t="e">
        <f>AND('score card (2)'!A84,"AAAAAH/N8xw=")</f>
        <v>#VALUE!</v>
      </c>
      <c r="AD9" t="e">
        <f>AND('score card (2)'!B84,"AAAAAH/N8x0=")</f>
        <v>#VALUE!</v>
      </c>
      <c r="AE9" t="e">
        <f>AND('score card (2)'!C84,"AAAAAH/N8x4=")</f>
        <v>#VALUE!</v>
      </c>
      <c r="AF9" t="e">
        <f>AND('score card (2)'!D84,"AAAAAH/N8x8=")</f>
        <v>#VALUE!</v>
      </c>
      <c r="AG9" t="e">
        <f>AND('score card (2)'!E84,"AAAAAH/N8yA=")</f>
        <v>#VALUE!</v>
      </c>
      <c r="AH9" t="e">
        <f>AND('score card (2)'!F84,"AAAAAH/N8yE=")</f>
        <v>#VALUE!</v>
      </c>
      <c r="AI9" t="e">
        <f>AND('score card (2)'!G84,"AAAAAH/N8yI=")</f>
        <v>#VALUE!</v>
      </c>
      <c r="AJ9" t="e">
        <f>AND('score card (2)'!H84,"AAAAAH/N8yM=")</f>
        <v>#VALUE!</v>
      </c>
      <c r="AK9" t="e">
        <f>AND('score card (2)'!I84,"AAAAAH/N8yQ=")</f>
        <v>#VALUE!</v>
      </c>
      <c r="AL9" t="e">
        <f>AND('score card (2)'!J84,"AAAAAH/N8yU=")</f>
        <v>#VALUE!</v>
      </c>
      <c r="AM9" t="e">
        <f>AND('score card (2)'!K84,"AAAAAH/N8yY=")</f>
        <v>#VALUE!</v>
      </c>
      <c r="AN9" t="e">
        <f>AND('score card (2)'!L84,"AAAAAH/N8yc=")</f>
        <v>#VALUE!</v>
      </c>
      <c r="AO9" t="e">
        <f>AND('score card (2)'!M84,"AAAAAH/N8yg=")</f>
        <v>#VALUE!</v>
      </c>
      <c r="AP9" t="e">
        <f>AND('score card (2)'!N84,"AAAAAH/N8yk=")</f>
        <v>#VALUE!</v>
      </c>
      <c r="AQ9" t="e">
        <f>AND('score card (2)'!O84,"AAAAAH/N8yo=")</f>
        <v>#VALUE!</v>
      </c>
      <c r="AR9" t="e">
        <f>AND('score card (2)'!P84,"AAAAAH/N8ys=")</f>
        <v>#VALUE!</v>
      </c>
      <c r="AS9" t="e">
        <f>AND('score card (2)'!Q84,"AAAAAH/N8yw=")</f>
        <v>#VALUE!</v>
      </c>
      <c r="AT9" t="e">
        <f>AND('score card (2)'!R84,"AAAAAH/N8y0=")</f>
        <v>#VALUE!</v>
      </c>
      <c r="AU9" t="e">
        <f>AND('score card (2)'!S84,"AAAAAH/N8y4=")</f>
        <v>#VALUE!</v>
      </c>
      <c r="AV9" t="e">
        <f>AND('score card (2)'!T84,"AAAAAH/N8y8=")</f>
        <v>#VALUE!</v>
      </c>
      <c r="AW9" t="e">
        <f>AND('score card (2)'!U84,"AAAAAH/N8zA=")</f>
        <v>#VALUE!</v>
      </c>
      <c r="AX9" t="e">
        <f>AND('score card (2)'!V84,"AAAAAH/N8zE=")</f>
        <v>#VALUE!</v>
      </c>
      <c r="AY9" t="e">
        <f>AND('score card (2)'!W84,"AAAAAH/N8zI=")</f>
        <v>#VALUE!</v>
      </c>
      <c r="AZ9" t="e">
        <f>AND('score card (2)'!X84,"AAAAAH/N8zM=")</f>
        <v>#VALUE!</v>
      </c>
      <c r="BA9">
        <f>IF('score card (2)'!85:85,"AAAAAH/N8zQ=",0)</f>
        <v>0</v>
      </c>
      <c r="BB9" t="e">
        <f>AND('score card (2)'!A85,"AAAAAH/N8zU=")</f>
        <v>#VALUE!</v>
      </c>
      <c r="BC9" t="e">
        <f>AND('score card (2)'!B85,"AAAAAH/N8zY=")</f>
        <v>#VALUE!</v>
      </c>
      <c r="BD9" t="e">
        <f>AND('score card (2)'!C85,"AAAAAH/N8zc=")</f>
        <v>#VALUE!</v>
      </c>
      <c r="BE9" t="e">
        <f>AND('score card (2)'!D85,"AAAAAH/N8zg=")</f>
        <v>#VALUE!</v>
      </c>
      <c r="BF9" t="e">
        <f>AND('score card (2)'!E85,"AAAAAH/N8zk=")</f>
        <v>#VALUE!</v>
      </c>
      <c r="BG9" t="e">
        <f>AND('score card (2)'!F85,"AAAAAH/N8zo=")</f>
        <v>#VALUE!</v>
      </c>
      <c r="BH9" t="e">
        <f>AND('score card (2)'!G85,"AAAAAH/N8zs=")</f>
        <v>#VALUE!</v>
      </c>
      <c r="BI9" t="e">
        <f>AND('score card (2)'!H85,"AAAAAH/N8zw=")</f>
        <v>#VALUE!</v>
      </c>
      <c r="BJ9" t="e">
        <f>AND('score card (2)'!I85,"AAAAAH/N8z0=")</f>
        <v>#VALUE!</v>
      </c>
      <c r="BK9" t="e">
        <f>AND('score card (2)'!J85,"AAAAAH/N8z4=")</f>
        <v>#VALUE!</v>
      </c>
      <c r="BL9" t="e">
        <f>AND('score card (2)'!K85,"AAAAAH/N8z8=")</f>
        <v>#VALUE!</v>
      </c>
      <c r="BM9" t="e">
        <f>AND('score card (2)'!L85,"AAAAAH/N80A=")</f>
        <v>#VALUE!</v>
      </c>
      <c r="BN9" t="e">
        <f>AND('score card (2)'!M85,"AAAAAH/N80E=")</f>
        <v>#VALUE!</v>
      </c>
      <c r="BO9" t="e">
        <f>AND('score card (2)'!N85,"AAAAAH/N80I=")</f>
        <v>#VALUE!</v>
      </c>
      <c r="BP9" t="e">
        <f>AND('score card (2)'!O85,"AAAAAH/N80M=")</f>
        <v>#VALUE!</v>
      </c>
      <c r="BQ9" t="e">
        <f>AND('score card (2)'!P85,"AAAAAH/N80Q=")</f>
        <v>#VALUE!</v>
      </c>
      <c r="BR9" t="e">
        <f>AND('score card (2)'!Q85,"AAAAAH/N80U=")</f>
        <v>#VALUE!</v>
      </c>
      <c r="BS9" t="e">
        <f>AND('score card (2)'!R85,"AAAAAH/N80Y=")</f>
        <v>#VALUE!</v>
      </c>
      <c r="BT9" t="e">
        <f>AND('score card (2)'!S85,"AAAAAH/N80c=")</f>
        <v>#VALUE!</v>
      </c>
      <c r="BU9" t="e">
        <f>AND('score card (2)'!T85,"AAAAAH/N80g=")</f>
        <v>#VALUE!</v>
      </c>
      <c r="BV9" t="e">
        <f>AND('score card (2)'!U85,"AAAAAH/N80k=")</f>
        <v>#VALUE!</v>
      </c>
      <c r="BW9" t="e">
        <f>AND('score card (2)'!V85,"AAAAAH/N80o=")</f>
        <v>#VALUE!</v>
      </c>
      <c r="BX9" t="e">
        <f>AND('score card (2)'!W85,"AAAAAH/N80s=")</f>
        <v>#VALUE!</v>
      </c>
      <c r="BY9" t="e">
        <f>AND('score card (2)'!X85,"AAAAAH/N80w=")</f>
        <v>#VALUE!</v>
      </c>
      <c r="BZ9">
        <f>IF('score card (2)'!86:86,"AAAAAH/N800=",0)</f>
        <v>0</v>
      </c>
      <c r="CA9" t="e">
        <f>AND('score card (2)'!A86,"AAAAAH/N804=")</f>
        <v>#VALUE!</v>
      </c>
      <c r="CB9" t="e">
        <f>AND('score card (2)'!B86,"AAAAAH/N808=")</f>
        <v>#VALUE!</v>
      </c>
      <c r="CC9" t="e">
        <f>AND('score card (2)'!C86,"AAAAAH/N81A=")</f>
        <v>#VALUE!</v>
      </c>
      <c r="CD9" t="e">
        <f>AND('score card (2)'!D86,"AAAAAH/N81E=")</f>
        <v>#VALUE!</v>
      </c>
      <c r="CE9" t="e">
        <f>AND('score card (2)'!E86,"AAAAAH/N81I=")</f>
        <v>#VALUE!</v>
      </c>
      <c r="CF9" t="e">
        <f>AND('score card (2)'!F86,"AAAAAH/N81M=")</f>
        <v>#VALUE!</v>
      </c>
      <c r="CG9" t="e">
        <f>AND('score card (2)'!G86,"AAAAAH/N81Q=")</f>
        <v>#VALUE!</v>
      </c>
      <c r="CH9" t="e">
        <f>AND('score card (2)'!H86,"AAAAAH/N81U=")</f>
        <v>#VALUE!</v>
      </c>
      <c r="CI9" t="e">
        <f>AND('score card (2)'!I86,"AAAAAH/N81Y=")</f>
        <v>#VALUE!</v>
      </c>
      <c r="CJ9" t="e">
        <f>AND('score card (2)'!J86,"AAAAAH/N81c=")</f>
        <v>#VALUE!</v>
      </c>
      <c r="CK9" t="e">
        <f>AND('score card (2)'!K86,"AAAAAH/N81g=")</f>
        <v>#VALUE!</v>
      </c>
      <c r="CL9" t="e">
        <f>AND('score card (2)'!L86,"AAAAAH/N81k=")</f>
        <v>#VALUE!</v>
      </c>
      <c r="CM9" t="e">
        <f>AND('score card (2)'!M86,"AAAAAH/N81o=")</f>
        <v>#VALUE!</v>
      </c>
      <c r="CN9" t="e">
        <f>AND('score card (2)'!N86,"AAAAAH/N81s=")</f>
        <v>#VALUE!</v>
      </c>
      <c r="CO9" t="e">
        <f>AND('score card (2)'!O86,"AAAAAH/N81w=")</f>
        <v>#VALUE!</v>
      </c>
      <c r="CP9" t="e">
        <f>AND('score card (2)'!P86,"AAAAAH/N810=")</f>
        <v>#VALUE!</v>
      </c>
      <c r="CQ9" t="e">
        <f>AND('score card (2)'!Q86,"AAAAAH/N814=")</f>
        <v>#VALUE!</v>
      </c>
      <c r="CR9" t="e">
        <f>AND('score card (2)'!R86,"AAAAAH/N818=")</f>
        <v>#VALUE!</v>
      </c>
      <c r="CS9" t="e">
        <f>AND('score card (2)'!S86,"AAAAAH/N82A=")</f>
        <v>#VALUE!</v>
      </c>
      <c r="CT9" t="e">
        <f>AND('score card (2)'!T86,"AAAAAH/N82E=")</f>
        <v>#VALUE!</v>
      </c>
      <c r="CU9" t="e">
        <f>AND('score card (2)'!U86,"AAAAAH/N82I=")</f>
        <v>#VALUE!</v>
      </c>
      <c r="CV9" t="e">
        <f>AND('score card (2)'!V86,"AAAAAH/N82M=")</f>
        <v>#VALUE!</v>
      </c>
      <c r="CW9" t="e">
        <f>AND('score card (2)'!W86,"AAAAAH/N82Q=")</f>
        <v>#VALUE!</v>
      </c>
      <c r="CX9" t="e">
        <f>AND('score card (2)'!X86,"AAAAAH/N82U=")</f>
        <v>#VALUE!</v>
      </c>
      <c r="CY9">
        <f>IF('score card (2)'!87:87,"AAAAAH/N82Y=",0)</f>
        <v>0</v>
      </c>
      <c r="CZ9" t="e">
        <f>AND('score card (2)'!A87,"AAAAAH/N82c=")</f>
        <v>#VALUE!</v>
      </c>
      <c r="DA9" t="e">
        <f>AND('score card (2)'!B87,"AAAAAH/N82g=")</f>
        <v>#VALUE!</v>
      </c>
      <c r="DB9" t="e">
        <f>AND('score card (2)'!C87,"AAAAAH/N82k=")</f>
        <v>#VALUE!</v>
      </c>
      <c r="DC9" t="e">
        <f>AND('score card (2)'!D87,"AAAAAH/N82o=")</f>
        <v>#VALUE!</v>
      </c>
      <c r="DD9" t="e">
        <f>AND('score card (2)'!E87,"AAAAAH/N82s=")</f>
        <v>#VALUE!</v>
      </c>
      <c r="DE9" t="e">
        <f>AND('score card (2)'!F87,"AAAAAH/N82w=")</f>
        <v>#VALUE!</v>
      </c>
      <c r="DF9" t="e">
        <f>AND('score card (2)'!G87,"AAAAAH/N820=")</f>
        <v>#VALUE!</v>
      </c>
      <c r="DG9" t="e">
        <f>AND('score card (2)'!H87,"AAAAAH/N824=")</f>
        <v>#VALUE!</v>
      </c>
      <c r="DH9" t="e">
        <f>AND('score card (2)'!I87,"AAAAAH/N828=")</f>
        <v>#VALUE!</v>
      </c>
      <c r="DI9" t="e">
        <f>AND('score card (2)'!J87,"AAAAAH/N83A=")</f>
        <v>#VALUE!</v>
      </c>
      <c r="DJ9" t="e">
        <f>AND('score card (2)'!K87,"AAAAAH/N83E=")</f>
        <v>#VALUE!</v>
      </c>
      <c r="DK9" t="e">
        <f>AND('score card (2)'!L87,"AAAAAH/N83I=")</f>
        <v>#VALUE!</v>
      </c>
      <c r="DL9" t="e">
        <f>AND('score card (2)'!M87,"AAAAAH/N83M=")</f>
        <v>#VALUE!</v>
      </c>
      <c r="DM9" t="e">
        <f>AND('score card (2)'!N87,"AAAAAH/N83Q=")</f>
        <v>#VALUE!</v>
      </c>
      <c r="DN9" t="e">
        <f>AND('score card (2)'!O87,"AAAAAH/N83U=")</f>
        <v>#VALUE!</v>
      </c>
      <c r="DO9" t="e">
        <f>AND('score card (2)'!P87,"AAAAAH/N83Y=")</f>
        <v>#VALUE!</v>
      </c>
      <c r="DP9" t="e">
        <f>AND('score card (2)'!Q87,"AAAAAH/N83c=")</f>
        <v>#VALUE!</v>
      </c>
      <c r="DQ9" t="e">
        <f>AND('score card (2)'!R87,"AAAAAH/N83g=")</f>
        <v>#VALUE!</v>
      </c>
      <c r="DR9" t="e">
        <f>AND('score card (2)'!S87,"AAAAAH/N83k=")</f>
        <v>#VALUE!</v>
      </c>
      <c r="DS9" t="e">
        <f>AND('score card (2)'!T87,"AAAAAH/N83o=")</f>
        <v>#VALUE!</v>
      </c>
      <c r="DT9" t="e">
        <f>AND('score card (2)'!U87,"AAAAAH/N83s=")</f>
        <v>#VALUE!</v>
      </c>
      <c r="DU9" t="e">
        <f>AND('score card (2)'!V87,"AAAAAH/N83w=")</f>
        <v>#VALUE!</v>
      </c>
      <c r="DV9" t="e">
        <f>AND('score card (2)'!W87,"AAAAAH/N830=")</f>
        <v>#VALUE!</v>
      </c>
      <c r="DW9" t="e">
        <f>AND('score card (2)'!X87,"AAAAAH/N834=")</f>
        <v>#VALUE!</v>
      </c>
      <c r="DX9">
        <f>IF('score card (2)'!88:88,"AAAAAH/N838=",0)</f>
        <v>0</v>
      </c>
      <c r="DY9" t="e">
        <f>AND('score card (2)'!A88,"AAAAAH/N84A=")</f>
        <v>#VALUE!</v>
      </c>
      <c r="DZ9" t="e">
        <f>AND('score card (2)'!B88,"AAAAAH/N84E=")</f>
        <v>#VALUE!</v>
      </c>
      <c r="EA9" t="e">
        <f>AND('score card (2)'!C88,"AAAAAH/N84I=")</f>
        <v>#VALUE!</v>
      </c>
      <c r="EB9" t="e">
        <f>AND('score card (2)'!D88,"AAAAAH/N84M=")</f>
        <v>#VALUE!</v>
      </c>
      <c r="EC9" t="e">
        <f>AND('score card (2)'!E88,"AAAAAH/N84Q=")</f>
        <v>#VALUE!</v>
      </c>
      <c r="ED9" t="e">
        <f>AND('score card (2)'!F88,"AAAAAH/N84U=")</f>
        <v>#VALUE!</v>
      </c>
      <c r="EE9" t="e">
        <f>AND('score card (2)'!G88,"AAAAAH/N84Y=")</f>
        <v>#VALUE!</v>
      </c>
      <c r="EF9" t="e">
        <f>AND('score card (2)'!H88,"AAAAAH/N84c=")</f>
        <v>#VALUE!</v>
      </c>
      <c r="EG9" t="e">
        <f>AND('score card (2)'!I88,"AAAAAH/N84g=")</f>
        <v>#VALUE!</v>
      </c>
      <c r="EH9" t="e">
        <f>AND('score card (2)'!J88,"AAAAAH/N84k=")</f>
        <v>#VALUE!</v>
      </c>
      <c r="EI9" t="e">
        <f>AND('score card (2)'!K88,"AAAAAH/N84o=")</f>
        <v>#VALUE!</v>
      </c>
      <c r="EJ9" t="e">
        <f>AND('score card (2)'!L88,"AAAAAH/N84s=")</f>
        <v>#VALUE!</v>
      </c>
      <c r="EK9" t="e">
        <f>AND('score card (2)'!M88,"AAAAAH/N84w=")</f>
        <v>#VALUE!</v>
      </c>
      <c r="EL9" t="e">
        <f>AND('score card (2)'!N88,"AAAAAH/N840=")</f>
        <v>#VALUE!</v>
      </c>
      <c r="EM9" t="e">
        <f>AND('score card (2)'!O88,"AAAAAH/N844=")</f>
        <v>#VALUE!</v>
      </c>
      <c r="EN9" t="e">
        <f>AND('score card (2)'!P88,"AAAAAH/N848=")</f>
        <v>#VALUE!</v>
      </c>
      <c r="EO9" t="e">
        <f>AND('score card (2)'!Q88,"AAAAAH/N85A=")</f>
        <v>#VALUE!</v>
      </c>
      <c r="EP9" t="e">
        <f>AND('score card (2)'!R88,"AAAAAH/N85E=")</f>
        <v>#VALUE!</v>
      </c>
      <c r="EQ9" t="e">
        <f>AND('score card (2)'!S88,"AAAAAH/N85I=")</f>
        <v>#VALUE!</v>
      </c>
      <c r="ER9" t="e">
        <f>AND('score card (2)'!T88,"AAAAAH/N85M=")</f>
        <v>#VALUE!</v>
      </c>
      <c r="ES9" t="e">
        <f>AND('score card (2)'!U88,"AAAAAH/N85Q=")</f>
        <v>#VALUE!</v>
      </c>
      <c r="ET9" t="e">
        <f>AND('score card (2)'!V88,"AAAAAH/N85U=")</f>
        <v>#VALUE!</v>
      </c>
      <c r="EU9" t="e">
        <f>AND('score card (2)'!W88,"AAAAAH/N85Y=")</f>
        <v>#VALUE!</v>
      </c>
      <c r="EV9" t="e">
        <f>AND('score card (2)'!X88,"AAAAAH/N85c=")</f>
        <v>#VALUE!</v>
      </c>
      <c r="EW9">
        <f>IF('score card (2)'!89:89,"AAAAAH/N85g=",0)</f>
        <v>0</v>
      </c>
      <c r="EX9" t="e">
        <f>AND('score card (2)'!A89,"AAAAAH/N85k=")</f>
        <v>#VALUE!</v>
      </c>
      <c r="EY9" t="e">
        <f>AND('score card (2)'!B89,"AAAAAH/N85o=")</f>
        <v>#VALUE!</v>
      </c>
      <c r="EZ9" t="e">
        <f>AND('score card (2)'!C89,"AAAAAH/N85s=")</f>
        <v>#VALUE!</v>
      </c>
      <c r="FA9" t="e">
        <f>AND('score card (2)'!D89,"AAAAAH/N85w=")</f>
        <v>#VALUE!</v>
      </c>
      <c r="FB9" t="e">
        <f>AND('score card (2)'!E89,"AAAAAH/N850=")</f>
        <v>#VALUE!</v>
      </c>
      <c r="FC9" t="e">
        <f>AND('score card (2)'!F89,"AAAAAH/N854=")</f>
        <v>#VALUE!</v>
      </c>
      <c r="FD9" t="e">
        <f>AND('score card (2)'!G89,"AAAAAH/N858=")</f>
        <v>#VALUE!</v>
      </c>
      <c r="FE9" t="e">
        <f>AND('score card (2)'!H89,"AAAAAH/N86A=")</f>
        <v>#VALUE!</v>
      </c>
      <c r="FF9" t="e">
        <f>AND('score card (2)'!I89,"AAAAAH/N86E=")</f>
        <v>#VALUE!</v>
      </c>
      <c r="FG9" t="e">
        <f>AND('score card (2)'!J89,"AAAAAH/N86I=")</f>
        <v>#VALUE!</v>
      </c>
      <c r="FH9" t="e">
        <f>AND('score card (2)'!K89,"AAAAAH/N86M=")</f>
        <v>#VALUE!</v>
      </c>
      <c r="FI9" t="e">
        <f>AND('score card (2)'!L89,"AAAAAH/N86Q=")</f>
        <v>#VALUE!</v>
      </c>
      <c r="FJ9" t="e">
        <f>AND('score card (2)'!M89,"AAAAAH/N86U=")</f>
        <v>#VALUE!</v>
      </c>
      <c r="FK9" t="e">
        <f>AND('score card (2)'!N89,"AAAAAH/N86Y=")</f>
        <v>#VALUE!</v>
      </c>
      <c r="FL9" t="e">
        <f>AND('score card (2)'!O89,"AAAAAH/N86c=")</f>
        <v>#VALUE!</v>
      </c>
      <c r="FM9" t="e">
        <f>AND('score card (2)'!P89,"AAAAAH/N86g=")</f>
        <v>#VALUE!</v>
      </c>
      <c r="FN9" t="e">
        <f>AND('score card (2)'!Q89,"AAAAAH/N86k=")</f>
        <v>#VALUE!</v>
      </c>
      <c r="FO9" t="e">
        <f>AND('score card (2)'!R89,"AAAAAH/N86o=")</f>
        <v>#VALUE!</v>
      </c>
      <c r="FP9" t="e">
        <f>AND('score card (2)'!S89,"AAAAAH/N86s=")</f>
        <v>#VALUE!</v>
      </c>
      <c r="FQ9" t="e">
        <f>AND('score card (2)'!T89,"AAAAAH/N86w=")</f>
        <v>#VALUE!</v>
      </c>
      <c r="FR9" t="e">
        <f>AND('score card (2)'!U89,"AAAAAH/N860=")</f>
        <v>#VALUE!</v>
      </c>
      <c r="FS9" t="e">
        <f>AND('score card (2)'!V89,"AAAAAH/N864=")</f>
        <v>#VALUE!</v>
      </c>
      <c r="FT9" t="e">
        <f>AND('score card (2)'!W89,"AAAAAH/N868=")</f>
        <v>#VALUE!</v>
      </c>
      <c r="FU9" t="e">
        <f>AND('score card (2)'!X89,"AAAAAH/N87A=")</f>
        <v>#VALUE!</v>
      </c>
      <c r="FV9">
        <f>IF('score card (2)'!90:90,"AAAAAH/N87E=",0)</f>
        <v>0</v>
      </c>
      <c r="FW9" t="e">
        <f>AND('score card (2)'!A90,"AAAAAH/N87I=")</f>
        <v>#VALUE!</v>
      </c>
      <c r="FX9" t="e">
        <f>AND('score card (2)'!B90,"AAAAAH/N87M=")</f>
        <v>#VALUE!</v>
      </c>
      <c r="FY9" t="e">
        <f>AND('score card (2)'!C90,"AAAAAH/N87Q=")</f>
        <v>#VALUE!</v>
      </c>
      <c r="FZ9" t="e">
        <f>AND('score card (2)'!D90,"AAAAAH/N87U=")</f>
        <v>#VALUE!</v>
      </c>
      <c r="GA9" t="e">
        <f>AND('score card (2)'!E90,"AAAAAH/N87Y=")</f>
        <v>#VALUE!</v>
      </c>
      <c r="GB9" t="e">
        <f>AND('score card (2)'!F90,"AAAAAH/N87c=")</f>
        <v>#VALUE!</v>
      </c>
      <c r="GC9" t="e">
        <f>AND('score card (2)'!G90,"AAAAAH/N87g=")</f>
        <v>#VALUE!</v>
      </c>
      <c r="GD9" t="e">
        <f>AND('score card (2)'!H90,"AAAAAH/N87k=")</f>
        <v>#VALUE!</v>
      </c>
      <c r="GE9" t="e">
        <f>AND('score card (2)'!I90,"AAAAAH/N87o=")</f>
        <v>#VALUE!</v>
      </c>
      <c r="GF9" t="e">
        <f>AND('score card (2)'!J90,"AAAAAH/N87s=")</f>
        <v>#VALUE!</v>
      </c>
      <c r="GG9" t="e">
        <f>AND('score card (2)'!K90,"AAAAAH/N87w=")</f>
        <v>#VALUE!</v>
      </c>
      <c r="GH9" t="e">
        <f>AND('score card (2)'!L90,"AAAAAH/N870=")</f>
        <v>#VALUE!</v>
      </c>
      <c r="GI9" t="e">
        <f>AND('score card (2)'!M90,"AAAAAH/N874=")</f>
        <v>#VALUE!</v>
      </c>
      <c r="GJ9" t="e">
        <f>AND('score card (2)'!N90,"AAAAAH/N878=")</f>
        <v>#VALUE!</v>
      </c>
      <c r="GK9" t="e">
        <f>AND('score card (2)'!O90,"AAAAAH/N88A=")</f>
        <v>#VALUE!</v>
      </c>
      <c r="GL9" t="e">
        <f>AND('score card (2)'!P90,"AAAAAH/N88E=")</f>
        <v>#VALUE!</v>
      </c>
      <c r="GM9" t="e">
        <f>AND('score card (2)'!Q90,"AAAAAH/N88I=")</f>
        <v>#VALUE!</v>
      </c>
      <c r="GN9" t="e">
        <f>AND('score card (2)'!R90,"AAAAAH/N88M=")</f>
        <v>#VALUE!</v>
      </c>
      <c r="GO9" t="e">
        <f>AND('score card (2)'!S90,"AAAAAH/N88Q=")</f>
        <v>#VALUE!</v>
      </c>
      <c r="GP9" t="e">
        <f>AND('score card (2)'!T90,"AAAAAH/N88U=")</f>
        <v>#VALUE!</v>
      </c>
      <c r="GQ9" t="e">
        <f>AND('score card (2)'!U90,"AAAAAH/N88Y=")</f>
        <v>#VALUE!</v>
      </c>
      <c r="GR9" t="e">
        <f>AND('score card (2)'!V90,"AAAAAH/N88c=")</f>
        <v>#VALUE!</v>
      </c>
      <c r="GS9" t="e">
        <f>AND('score card (2)'!W90,"AAAAAH/N88g=")</f>
        <v>#VALUE!</v>
      </c>
      <c r="GT9" t="e">
        <f>AND('score card (2)'!X90,"AAAAAH/N88k=")</f>
        <v>#VALUE!</v>
      </c>
      <c r="GU9">
        <f>IF('score card (2)'!91:91,"AAAAAH/N88o=",0)</f>
        <v>0</v>
      </c>
      <c r="GV9" t="e">
        <f>AND('score card (2)'!A91,"AAAAAH/N88s=")</f>
        <v>#VALUE!</v>
      </c>
      <c r="GW9" t="e">
        <f>AND('score card (2)'!B91,"AAAAAH/N88w=")</f>
        <v>#VALUE!</v>
      </c>
      <c r="GX9" t="e">
        <f>AND('score card (2)'!C91,"AAAAAH/N880=")</f>
        <v>#VALUE!</v>
      </c>
      <c r="GY9" t="e">
        <f>AND('score card (2)'!D91,"AAAAAH/N884=")</f>
        <v>#VALUE!</v>
      </c>
      <c r="GZ9" t="e">
        <f>AND('score card (2)'!E91,"AAAAAH/N888=")</f>
        <v>#VALUE!</v>
      </c>
      <c r="HA9" t="e">
        <f>AND('score card (2)'!F91,"AAAAAH/N89A=")</f>
        <v>#VALUE!</v>
      </c>
      <c r="HB9" t="e">
        <f>AND('score card (2)'!G91,"AAAAAH/N89E=")</f>
        <v>#VALUE!</v>
      </c>
      <c r="HC9" t="e">
        <f>AND('score card (2)'!H91,"AAAAAH/N89I=")</f>
        <v>#VALUE!</v>
      </c>
      <c r="HD9" t="e">
        <f>AND('score card (2)'!I91,"AAAAAH/N89M=")</f>
        <v>#VALUE!</v>
      </c>
      <c r="HE9" t="e">
        <f>AND('score card (2)'!J91,"AAAAAH/N89Q=")</f>
        <v>#VALUE!</v>
      </c>
      <c r="HF9" t="e">
        <f>AND('score card (2)'!K91,"AAAAAH/N89U=")</f>
        <v>#VALUE!</v>
      </c>
      <c r="HG9" t="e">
        <f>AND('score card (2)'!L91,"AAAAAH/N89Y=")</f>
        <v>#VALUE!</v>
      </c>
      <c r="HH9" t="e">
        <f>AND('score card (2)'!M91,"AAAAAH/N89c=")</f>
        <v>#VALUE!</v>
      </c>
      <c r="HI9" t="e">
        <f>AND('score card (2)'!N91,"AAAAAH/N89g=")</f>
        <v>#VALUE!</v>
      </c>
      <c r="HJ9" t="e">
        <f>AND('score card (2)'!O91,"AAAAAH/N89k=")</f>
        <v>#VALUE!</v>
      </c>
      <c r="HK9" t="e">
        <f>AND('score card (2)'!P91,"AAAAAH/N89o=")</f>
        <v>#VALUE!</v>
      </c>
      <c r="HL9" t="e">
        <f>AND('score card (2)'!Q91,"AAAAAH/N89s=")</f>
        <v>#VALUE!</v>
      </c>
      <c r="HM9" t="e">
        <f>AND('score card (2)'!R91,"AAAAAH/N89w=")</f>
        <v>#VALUE!</v>
      </c>
      <c r="HN9" t="e">
        <f>AND('score card (2)'!S91,"AAAAAH/N890=")</f>
        <v>#VALUE!</v>
      </c>
      <c r="HO9" t="e">
        <f>AND('score card (2)'!T91,"AAAAAH/N894=")</f>
        <v>#VALUE!</v>
      </c>
      <c r="HP9" t="e">
        <f>AND('score card (2)'!U91,"AAAAAH/N898=")</f>
        <v>#VALUE!</v>
      </c>
      <c r="HQ9" t="e">
        <f>AND('score card (2)'!V91,"AAAAAH/N8+A=")</f>
        <v>#VALUE!</v>
      </c>
      <c r="HR9" t="e">
        <f>AND('score card (2)'!W91,"AAAAAH/N8+E=")</f>
        <v>#VALUE!</v>
      </c>
      <c r="HS9" t="e">
        <f>AND('score card (2)'!X91,"AAAAAH/N8+I=")</f>
        <v>#VALUE!</v>
      </c>
      <c r="HT9">
        <f>IF('score card (2)'!92:92,"AAAAAH/N8+M=",0)</f>
        <v>0</v>
      </c>
      <c r="HU9" t="e">
        <f>AND('score card (2)'!A92,"AAAAAH/N8+Q=")</f>
        <v>#VALUE!</v>
      </c>
      <c r="HV9" t="e">
        <f>AND('score card (2)'!B92,"AAAAAH/N8+U=")</f>
        <v>#VALUE!</v>
      </c>
      <c r="HW9" t="e">
        <f>AND('score card (2)'!C92,"AAAAAH/N8+Y=")</f>
        <v>#VALUE!</v>
      </c>
      <c r="HX9" t="e">
        <f>AND('score card (2)'!D92,"AAAAAH/N8+c=")</f>
        <v>#VALUE!</v>
      </c>
      <c r="HY9" t="e">
        <f>AND('score card (2)'!E92,"AAAAAH/N8+g=")</f>
        <v>#VALUE!</v>
      </c>
      <c r="HZ9" t="e">
        <f>AND('score card (2)'!F92,"AAAAAH/N8+k=")</f>
        <v>#VALUE!</v>
      </c>
      <c r="IA9" t="e">
        <f>AND('score card (2)'!G92,"AAAAAH/N8+o=")</f>
        <v>#VALUE!</v>
      </c>
      <c r="IB9" t="e">
        <f>AND('score card (2)'!H92,"AAAAAH/N8+s=")</f>
        <v>#VALUE!</v>
      </c>
      <c r="IC9" t="e">
        <f>AND('score card (2)'!I92,"AAAAAH/N8+w=")</f>
        <v>#VALUE!</v>
      </c>
      <c r="ID9" t="e">
        <f>AND('score card (2)'!J92,"AAAAAH/N8+0=")</f>
        <v>#VALUE!</v>
      </c>
      <c r="IE9" t="e">
        <f>AND('score card (2)'!K92,"AAAAAH/N8+4=")</f>
        <v>#VALUE!</v>
      </c>
      <c r="IF9" t="e">
        <f>AND('score card (2)'!L92,"AAAAAH/N8+8=")</f>
        <v>#VALUE!</v>
      </c>
      <c r="IG9" t="e">
        <f>AND('score card (2)'!M92,"AAAAAH/N8/A=")</f>
        <v>#VALUE!</v>
      </c>
      <c r="IH9" t="e">
        <f>AND('score card (2)'!N92,"AAAAAH/N8/E=")</f>
        <v>#VALUE!</v>
      </c>
      <c r="II9" t="e">
        <f>AND('score card (2)'!O92,"AAAAAH/N8/I=")</f>
        <v>#VALUE!</v>
      </c>
      <c r="IJ9" t="e">
        <f>AND('score card (2)'!P92,"AAAAAH/N8/M=")</f>
        <v>#VALUE!</v>
      </c>
      <c r="IK9" t="e">
        <f>AND('score card (2)'!Q92,"AAAAAH/N8/Q=")</f>
        <v>#VALUE!</v>
      </c>
      <c r="IL9" t="e">
        <f>AND('score card (2)'!R92,"AAAAAH/N8/U=")</f>
        <v>#VALUE!</v>
      </c>
      <c r="IM9" t="e">
        <f>AND('score card (2)'!S92,"AAAAAH/N8/Y=")</f>
        <v>#VALUE!</v>
      </c>
      <c r="IN9" t="e">
        <f>AND('score card (2)'!T92,"AAAAAH/N8/c=")</f>
        <v>#VALUE!</v>
      </c>
      <c r="IO9" t="e">
        <f>AND('score card (2)'!U92,"AAAAAH/N8/g=")</f>
        <v>#VALUE!</v>
      </c>
      <c r="IP9" t="e">
        <f>AND('score card (2)'!V92,"AAAAAH/N8/k=")</f>
        <v>#VALUE!</v>
      </c>
      <c r="IQ9" t="e">
        <f>AND('score card (2)'!W92,"AAAAAH/N8/o=")</f>
        <v>#VALUE!</v>
      </c>
      <c r="IR9" t="e">
        <f>AND('score card (2)'!X92,"AAAAAH/N8/s=")</f>
        <v>#VALUE!</v>
      </c>
      <c r="IS9">
        <f>IF('score card (2)'!93:93,"AAAAAH/N8/w=",0)</f>
        <v>0</v>
      </c>
      <c r="IT9" t="e">
        <f>AND('score card (2)'!A93,"AAAAAH/N8/0=")</f>
        <v>#VALUE!</v>
      </c>
      <c r="IU9" t="e">
        <f>AND('score card (2)'!B93,"AAAAAH/N8/4=")</f>
        <v>#VALUE!</v>
      </c>
      <c r="IV9" t="e">
        <f>AND('score card (2)'!C93,"AAAAAH/N8/8=")</f>
        <v>#VALUE!</v>
      </c>
    </row>
    <row r="10" spans="1:256" ht="12.75">
      <c r="A10" t="e">
        <f>AND('score card (2)'!D93,"AAAAAHy36wA=")</f>
        <v>#VALUE!</v>
      </c>
      <c r="B10" t="e">
        <f>AND('score card (2)'!E93,"AAAAAHy36wE=")</f>
        <v>#VALUE!</v>
      </c>
      <c r="C10" t="e">
        <f>AND('score card (2)'!F93,"AAAAAHy36wI=")</f>
        <v>#VALUE!</v>
      </c>
      <c r="D10" t="e">
        <f>AND('score card (2)'!G93,"AAAAAHy36wM=")</f>
        <v>#VALUE!</v>
      </c>
      <c r="E10" t="e">
        <f>AND('score card (2)'!H93,"AAAAAHy36wQ=")</f>
        <v>#VALUE!</v>
      </c>
      <c r="F10" t="e">
        <f>AND('score card (2)'!I93,"AAAAAHy36wU=")</f>
        <v>#VALUE!</v>
      </c>
      <c r="G10" t="e">
        <f>AND('score card (2)'!J93,"AAAAAHy36wY=")</f>
        <v>#VALUE!</v>
      </c>
      <c r="H10" t="e">
        <f>AND('score card (2)'!K93,"AAAAAHy36wc=")</f>
        <v>#VALUE!</v>
      </c>
      <c r="I10" t="e">
        <f>AND('score card (2)'!L93,"AAAAAHy36wg=")</f>
        <v>#VALUE!</v>
      </c>
      <c r="J10" t="e">
        <f>AND('score card (2)'!M93,"AAAAAHy36wk=")</f>
        <v>#VALUE!</v>
      </c>
      <c r="K10" t="e">
        <f>AND('score card (2)'!N93,"AAAAAHy36wo=")</f>
        <v>#VALUE!</v>
      </c>
      <c r="L10" t="e">
        <f>AND('score card (2)'!O93,"AAAAAHy36ws=")</f>
        <v>#VALUE!</v>
      </c>
      <c r="M10" t="e">
        <f>AND('score card (2)'!P93,"AAAAAHy36ww=")</f>
        <v>#VALUE!</v>
      </c>
      <c r="N10" t="e">
        <f>AND('score card (2)'!Q93,"AAAAAHy36w0=")</f>
        <v>#VALUE!</v>
      </c>
      <c r="O10" t="e">
        <f>AND('score card (2)'!R93,"AAAAAHy36w4=")</f>
        <v>#VALUE!</v>
      </c>
      <c r="P10" t="e">
        <f>AND('score card (2)'!S93,"AAAAAHy36w8=")</f>
        <v>#VALUE!</v>
      </c>
      <c r="Q10" t="e">
        <f>AND('score card (2)'!T93,"AAAAAHy36xA=")</f>
        <v>#VALUE!</v>
      </c>
      <c r="R10" t="e">
        <f>AND('score card (2)'!U93,"AAAAAHy36xE=")</f>
        <v>#VALUE!</v>
      </c>
      <c r="S10" t="e">
        <f>AND('score card (2)'!V93,"AAAAAHy36xI=")</f>
        <v>#VALUE!</v>
      </c>
      <c r="T10" t="e">
        <f>AND('score card (2)'!W93,"AAAAAHy36xM=")</f>
        <v>#VALUE!</v>
      </c>
      <c r="U10" t="e">
        <f>AND('score card (2)'!X93,"AAAAAHy36xQ=")</f>
        <v>#VALUE!</v>
      </c>
      <c r="V10">
        <f>IF('score card (2)'!94:94,"AAAAAHy36xU=",0)</f>
        <v>0</v>
      </c>
      <c r="W10" t="e">
        <f>AND('score card (2)'!A94,"AAAAAHy36xY=")</f>
        <v>#VALUE!</v>
      </c>
      <c r="X10" t="e">
        <f>AND('score card (2)'!B94,"AAAAAHy36xc=")</f>
        <v>#VALUE!</v>
      </c>
      <c r="Y10" t="e">
        <f>AND('score card (2)'!C94,"AAAAAHy36xg=")</f>
        <v>#VALUE!</v>
      </c>
      <c r="Z10" t="e">
        <f>AND('score card (2)'!D94,"AAAAAHy36xk=")</f>
        <v>#VALUE!</v>
      </c>
      <c r="AA10" t="e">
        <f>AND('score card (2)'!E94,"AAAAAHy36xo=")</f>
        <v>#VALUE!</v>
      </c>
      <c r="AB10" t="e">
        <f>AND('score card (2)'!F94,"AAAAAHy36xs=")</f>
        <v>#VALUE!</v>
      </c>
      <c r="AC10" t="e">
        <f>AND('score card (2)'!G94,"AAAAAHy36xw=")</f>
        <v>#VALUE!</v>
      </c>
      <c r="AD10" t="e">
        <f>AND('score card (2)'!H94,"AAAAAHy36x0=")</f>
        <v>#VALUE!</v>
      </c>
      <c r="AE10" t="e">
        <f>AND('score card (2)'!I94,"AAAAAHy36x4=")</f>
        <v>#VALUE!</v>
      </c>
      <c r="AF10" t="e">
        <f>AND('score card (2)'!J94,"AAAAAHy36x8=")</f>
        <v>#VALUE!</v>
      </c>
      <c r="AG10" t="e">
        <f>AND('score card (2)'!K94,"AAAAAHy36yA=")</f>
        <v>#VALUE!</v>
      </c>
      <c r="AH10" t="e">
        <f>AND('score card (2)'!L94,"AAAAAHy36yE=")</f>
        <v>#VALUE!</v>
      </c>
      <c r="AI10" t="e">
        <f>AND('score card (2)'!M94,"AAAAAHy36yI=")</f>
        <v>#VALUE!</v>
      </c>
      <c r="AJ10" t="e">
        <f>AND('score card (2)'!N94,"AAAAAHy36yM=")</f>
        <v>#VALUE!</v>
      </c>
      <c r="AK10" t="e">
        <f>AND('score card (2)'!O94,"AAAAAHy36yQ=")</f>
        <v>#VALUE!</v>
      </c>
      <c r="AL10" t="e">
        <f>AND('score card (2)'!P94,"AAAAAHy36yU=")</f>
        <v>#VALUE!</v>
      </c>
      <c r="AM10" t="e">
        <f>AND('score card (2)'!Q94,"AAAAAHy36yY=")</f>
        <v>#VALUE!</v>
      </c>
      <c r="AN10" t="e">
        <f>AND('score card (2)'!R94,"AAAAAHy36yc=")</f>
        <v>#VALUE!</v>
      </c>
      <c r="AO10" t="e">
        <f>AND('score card (2)'!S94,"AAAAAHy36yg=")</f>
        <v>#VALUE!</v>
      </c>
      <c r="AP10" t="e">
        <f>AND('score card (2)'!T94,"AAAAAHy36yk=")</f>
        <v>#VALUE!</v>
      </c>
      <c r="AQ10" t="e">
        <f>AND('score card (2)'!U94,"AAAAAHy36yo=")</f>
        <v>#VALUE!</v>
      </c>
      <c r="AR10" t="e">
        <f>AND('score card (2)'!V94,"AAAAAHy36ys=")</f>
        <v>#VALUE!</v>
      </c>
      <c r="AS10" t="e">
        <f>AND('score card (2)'!W94,"AAAAAHy36yw=")</f>
        <v>#VALUE!</v>
      </c>
      <c r="AT10" t="e">
        <f>AND('score card (2)'!X94,"AAAAAHy36y0=")</f>
        <v>#VALUE!</v>
      </c>
      <c r="AU10">
        <f>IF('score card (2)'!95:95,"AAAAAHy36y4=",0)</f>
        <v>0</v>
      </c>
      <c r="AV10" t="e">
        <f>AND('score card (2)'!A95,"AAAAAHy36y8=")</f>
        <v>#VALUE!</v>
      </c>
      <c r="AW10" t="e">
        <f>AND('score card (2)'!B95,"AAAAAHy36zA=")</f>
        <v>#VALUE!</v>
      </c>
      <c r="AX10" t="e">
        <f>AND('score card (2)'!C95,"AAAAAHy36zE=")</f>
        <v>#VALUE!</v>
      </c>
      <c r="AY10" t="e">
        <f>AND('score card (2)'!D95,"AAAAAHy36zI=")</f>
        <v>#VALUE!</v>
      </c>
      <c r="AZ10" t="e">
        <f>AND('score card (2)'!E95,"AAAAAHy36zM=")</f>
        <v>#VALUE!</v>
      </c>
      <c r="BA10" t="e">
        <f>AND('score card (2)'!F95,"AAAAAHy36zQ=")</f>
        <v>#VALUE!</v>
      </c>
      <c r="BB10" t="e">
        <f>AND('score card (2)'!G95,"AAAAAHy36zU=")</f>
        <v>#VALUE!</v>
      </c>
      <c r="BC10" t="e">
        <f>AND('score card (2)'!H95,"AAAAAHy36zY=")</f>
        <v>#VALUE!</v>
      </c>
      <c r="BD10" t="e">
        <f>AND('score card (2)'!I95,"AAAAAHy36zc=")</f>
        <v>#VALUE!</v>
      </c>
      <c r="BE10" t="e">
        <f>AND('score card (2)'!J95,"AAAAAHy36zg=")</f>
        <v>#VALUE!</v>
      </c>
      <c r="BF10" t="e">
        <f>AND('score card (2)'!K95,"AAAAAHy36zk=")</f>
        <v>#VALUE!</v>
      </c>
      <c r="BG10" t="e">
        <f>AND('score card (2)'!L95,"AAAAAHy36zo=")</f>
        <v>#VALUE!</v>
      </c>
      <c r="BH10" t="e">
        <f>AND('score card (2)'!M95,"AAAAAHy36zs=")</f>
        <v>#VALUE!</v>
      </c>
      <c r="BI10" t="e">
        <f>AND('score card (2)'!N95,"AAAAAHy36zw=")</f>
        <v>#VALUE!</v>
      </c>
      <c r="BJ10" t="e">
        <f>AND('score card (2)'!O95,"AAAAAHy36z0=")</f>
        <v>#VALUE!</v>
      </c>
      <c r="BK10" t="e">
        <f>AND('score card (2)'!P95,"AAAAAHy36z4=")</f>
        <v>#VALUE!</v>
      </c>
      <c r="BL10" t="e">
        <f>AND('score card (2)'!Q95,"AAAAAHy36z8=")</f>
        <v>#VALUE!</v>
      </c>
      <c r="BM10" t="e">
        <f>AND('score card (2)'!R95,"AAAAAHy360A=")</f>
        <v>#VALUE!</v>
      </c>
      <c r="BN10" t="e">
        <f>AND('score card (2)'!S95,"AAAAAHy360E=")</f>
        <v>#VALUE!</v>
      </c>
      <c r="BO10" t="e">
        <f>AND('score card (2)'!T95,"AAAAAHy360I=")</f>
        <v>#VALUE!</v>
      </c>
      <c r="BP10" t="e">
        <f>AND('score card (2)'!U95,"AAAAAHy360M=")</f>
        <v>#VALUE!</v>
      </c>
      <c r="BQ10" t="e">
        <f>AND('score card (2)'!V95,"AAAAAHy360Q=")</f>
        <v>#VALUE!</v>
      </c>
      <c r="BR10" t="e">
        <f>AND('score card (2)'!W95,"AAAAAHy360U=")</f>
        <v>#VALUE!</v>
      </c>
      <c r="BS10" t="e">
        <f>AND('score card (2)'!X95,"AAAAAHy360Y=")</f>
        <v>#VALUE!</v>
      </c>
      <c r="BT10">
        <f>IF('score card (2)'!96:96,"AAAAAHy360c=",0)</f>
        <v>0</v>
      </c>
      <c r="BU10" t="e">
        <f>AND('score card (2)'!A96,"AAAAAHy360g=")</f>
        <v>#VALUE!</v>
      </c>
      <c r="BV10" t="e">
        <f>AND('score card (2)'!B96,"AAAAAHy360k=")</f>
        <v>#VALUE!</v>
      </c>
      <c r="BW10" t="e">
        <f>AND('score card (2)'!C96,"AAAAAHy360o=")</f>
        <v>#VALUE!</v>
      </c>
      <c r="BX10" t="e">
        <f>AND('score card (2)'!D96,"AAAAAHy360s=")</f>
        <v>#VALUE!</v>
      </c>
      <c r="BY10" t="e">
        <f>AND('score card (2)'!E96,"AAAAAHy360w=")</f>
        <v>#VALUE!</v>
      </c>
      <c r="BZ10" t="e">
        <f>AND('score card (2)'!F96,"AAAAAHy3600=")</f>
        <v>#VALUE!</v>
      </c>
      <c r="CA10" t="e">
        <f>AND('score card (2)'!G96,"AAAAAHy3604=")</f>
        <v>#VALUE!</v>
      </c>
      <c r="CB10" t="e">
        <f>AND('score card (2)'!H96,"AAAAAHy3608=")</f>
        <v>#VALUE!</v>
      </c>
      <c r="CC10" t="e">
        <f>AND('score card (2)'!I96,"AAAAAHy361A=")</f>
        <v>#VALUE!</v>
      </c>
      <c r="CD10" t="e">
        <f>AND('score card (2)'!J96,"AAAAAHy361E=")</f>
        <v>#VALUE!</v>
      </c>
      <c r="CE10" t="e">
        <f>AND('score card (2)'!K96,"AAAAAHy361I=")</f>
        <v>#VALUE!</v>
      </c>
      <c r="CF10" t="e">
        <f>AND('score card (2)'!L96,"AAAAAHy361M=")</f>
        <v>#VALUE!</v>
      </c>
      <c r="CG10" t="e">
        <f>AND('score card (2)'!M96,"AAAAAHy361Q=")</f>
        <v>#VALUE!</v>
      </c>
      <c r="CH10" t="e">
        <f>AND('score card (2)'!N96,"AAAAAHy361U=")</f>
        <v>#VALUE!</v>
      </c>
      <c r="CI10" t="e">
        <f>AND('score card (2)'!O96,"AAAAAHy361Y=")</f>
        <v>#VALUE!</v>
      </c>
      <c r="CJ10" t="e">
        <f>AND('score card (2)'!P96,"AAAAAHy361c=")</f>
        <v>#VALUE!</v>
      </c>
      <c r="CK10" t="e">
        <f>AND('score card (2)'!Q96,"AAAAAHy361g=")</f>
        <v>#VALUE!</v>
      </c>
      <c r="CL10" t="e">
        <f>AND('score card (2)'!R96,"AAAAAHy361k=")</f>
        <v>#VALUE!</v>
      </c>
      <c r="CM10" t="e">
        <f>AND('score card (2)'!S96,"AAAAAHy361o=")</f>
        <v>#VALUE!</v>
      </c>
      <c r="CN10" t="e">
        <f>AND('score card (2)'!T96,"AAAAAHy361s=")</f>
        <v>#VALUE!</v>
      </c>
      <c r="CO10" t="e">
        <f>AND('score card (2)'!U96,"AAAAAHy361w=")</f>
        <v>#VALUE!</v>
      </c>
      <c r="CP10" t="e">
        <f>AND('score card (2)'!V96,"AAAAAHy3610=")</f>
        <v>#VALUE!</v>
      </c>
      <c r="CQ10" t="e">
        <f>AND('score card (2)'!W96,"AAAAAHy3614=")</f>
        <v>#VALUE!</v>
      </c>
      <c r="CR10" t="e">
        <f>AND('score card (2)'!X96,"AAAAAHy3618=")</f>
        <v>#VALUE!</v>
      </c>
      <c r="CS10">
        <f>IF('score card (2)'!97:97,"AAAAAHy362A=",0)</f>
        <v>0</v>
      </c>
      <c r="CT10" t="e">
        <f>AND('score card (2)'!A97,"AAAAAHy362E=")</f>
        <v>#VALUE!</v>
      </c>
      <c r="CU10" t="e">
        <f>AND('score card (2)'!B97,"AAAAAHy362I=")</f>
        <v>#VALUE!</v>
      </c>
      <c r="CV10" t="e">
        <f>AND('score card (2)'!C97,"AAAAAHy362M=")</f>
        <v>#VALUE!</v>
      </c>
      <c r="CW10" t="e">
        <f>AND('score card (2)'!D97,"AAAAAHy362Q=")</f>
        <v>#VALUE!</v>
      </c>
      <c r="CX10" t="e">
        <f>AND('score card (2)'!E97,"AAAAAHy362U=")</f>
        <v>#VALUE!</v>
      </c>
      <c r="CY10" t="e">
        <f>AND('score card (2)'!F97,"AAAAAHy362Y=")</f>
        <v>#VALUE!</v>
      </c>
      <c r="CZ10" t="e">
        <f>AND('score card (2)'!G97,"AAAAAHy362c=")</f>
        <v>#VALUE!</v>
      </c>
      <c r="DA10" t="e">
        <f>AND('score card (2)'!H97,"AAAAAHy362g=")</f>
        <v>#VALUE!</v>
      </c>
      <c r="DB10" t="e">
        <f>AND('score card (2)'!I97,"AAAAAHy362k=")</f>
        <v>#VALUE!</v>
      </c>
      <c r="DC10" t="e">
        <f>AND('score card (2)'!J97,"AAAAAHy362o=")</f>
        <v>#VALUE!</v>
      </c>
      <c r="DD10" t="e">
        <f>AND('score card (2)'!K97,"AAAAAHy362s=")</f>
        <v>#VALUE!</v>
      </c>
      <c r="DE10" t="e">
        <f>AND('score card (2)'!L97,"AAAAAHy362w=")</f>
        <v>#VALUE!</v>
      </c>
      <c r="DF10" t="e">
        <f>AND('score card (2)'!M97,"AAAAAHy3620=")</f>
        <v>#VALUE!</v>
      </c>
      <c r="DG10" t="e">
        <f>AND('score card (2)'!N97,"AAAAAHy3624=")</f>
        <v>#VALUE!</v>
      </c>
      <c r="DH10" t="e">
        <f>AND('score card (2)'!O97,"AAAAAHy3628=")</f>
        <v>#VALUE!</v>
      </c>
      <c r="DI10" t="e">
        <f>AND('score card (2)'!P97,"AAAAAHy363A=")</f>
        <v>#VALUE!</v>
      </c>
      <c r="DJ10" t="e">
        <f>AND('score card (2)'!Q97,"AAAAAHy363E=")</f>
        <v>#VALUE!</v>
      </c>
      <c r="DK10" t="e">
        <f>AND('score card (2)'!R97,"AAAAAHy363I=")</f>
        <v>#VALUE!</v>
      </c>
      <c r="DL10" t="e">
        <f>AND('score card (2)'!S97,"AAAAAHy363M=")</f>
        <v>#VALUE!</v>
      </c>
      <c r="DM10" t="e">
        <f>AND('score card (2)'!T97,"AAAAAHy363Q=")</f>
        <v>#VALUE!</v>
      </c>
      <c r="DN10" t="e">
        <f>AND('score card (2)'!U97,"AAAAAHy363U=")</f>
        <v>#VALUE!</v>
      </c>
      <c r="DO10" t="e">
        <f>AND('score card (2)'!V97,"AAAAAHy363Y=")</f>
        <v>#VALUE!</v>
      </c>
      <c r="DP10" t="e">
        <f>AND('score card (2)'!W97,"AAAAAHy363c=")</f>
        <v>#VALUE!</v>
      </c>
      <c r="DQ10" t="e">
        <f>AND('score card (2)'!X97,"AAAAAHy363g=")</f>
        <v>#VALUE!</v>
      </c>
      <c r="DR10">
        <f>IF('score card (2)'!98:98,"AAAAAHy363k=",0)</f>
        <v>0</v>
      </c>
      <c r="DS10" t="e">
        <f>AND('score card (2)'!A98,"AAAAAHy363o=")</f>
        <v>#VALUE!</v>
      </c>
      <c r="DT10" t="e">
        <f>AND('score card (2)'!B98,"AAAAAHy363s=")</f>
        <v>#VALUE!</v>
      </c>
      <c r="DU10" t="e">
        <f>AND('score card (2)'!C98,"AAAAAHy363w=")</f>
        <v>#VALUE!</v>
      </c>
      <c r="DV10" t="e">
        <f>AND('score card (2)'!D98,"AAAAAHy3630=")</f>
        <v>#VALUE!</v>
      </c>
      <c r="DW10" t="e">
        <f>AND('score card (2)'!E98,"AAAAAHy3634=")</f>
        <v>#VALUE!</v>
      </c>
      <c r="DX10" t="e">
        <f>AND('score card (2)'!F98,"AAAAAHy3638=")</f>
        <v>#VALUE!</v>
      </c>
      <c r="DY10" t="e">
        <f>AND('score card (2)'!G98,"AAAAAHy364A=")</f>
        <v>#VALUE!</v>
      </c>
      <c r="DZ10" t="e">
        <f>AND('score card (2)'!H98,"AAAAAHy364E=")</f>
        <v>#VALUE!</v>
      </c>
      <c r="EA10" t="e">
        <f>AND('score card (2)'!I98,"AAAAAHy364I=")</f>
        <v>#VALUE!</v>
      </c>
      <c r="EB10" t="e">
        <f>AND('score card (2)'!J98,"AAAAAHy364M=")</f>
        <v>#VALUE!</v>
      </c>
      <c r="EC10" t="e">
        <f>AND('score card (2)'!K98,"AAAAAHy364Q=")</f>
        <v>#VALUE!</v>
      </c>
      <c r="ED10" t="e">
        <f>AND('score card (2)'!L98,"AAAAAHy364U=")</f>
        <v>#VALUE!</v>
      </c>
      <c r="EE10" t="e">
        <f>AND('score card (2)'!M98,"AAAAAHy364Y=")</f>
        <v>#VALUE!</v>
      </c>
      <c r="EF10" t="e">
        <f>AND('score card (2)'!N98,"AAAAAHy364c=")</f>
        <v>#VALUE!</v>
      </c>
      <c r="EG10" t="e">
        <f>AND('score card (2)'!O98,"AAAAAHy364g=")</f>
        <v>#VALUE!</v>
      </c>
      <c r="EH10" t="e">
        <f>AND('score card (2)'!P98,"AAAAAHy364k=")</f>
        <v>#VALUE!</v>
      </c>
      <c r="EI10" t="e">
        <f>AND('score card (2)'!Q98,"AAAAAHy364o=")</f>
        <v>#VALUE!</v>
      </c>
      <c r="EJ10" t="e">
        <f>AND('score card (2)'!R98,"AAAAAHy364s=")</f>
        <v>#VALUE!</v>
      </c>
      <c r="EK10" t="e">
        <f>AND('score card (2)'!S98,"AAAAAHy364w=")</f>
        <v>#VALUE!</v>
      </c>
      <c r="EL10" t="e">
        <f>AND('score card (2)'!T98,"AAAAAHy3640=")</f>
        <v>#VALUE!</v>
      </c>
      <c r="EM10" t="e">
        <f>AND('score card (2)'!U98,"AAAAAHy3644=")</f>
        <v>#VALUE!</v>
      </c>
      <c r="EN10" t="e">
        <f>AND('score card (2)'!V98,"AAAAAHy3648=")</f>
        <v>#VALUE!</v>
      </c>
      <c r="EO10" t="e">
        <f>AND('score card (2)'!W98,"AAAAAHy365A=")</f>
        <v>#VALUE!</v>
      </c>
      <c r="EP10" t="e">
        <f>AND('score card (2)'!X98,"AAAAAHy365E=")</f>
        <v>#VALUE!</v>
      </c>
      <c r="EQ10">
        <f>IF('score card (2)'!99:99,"AAAAAHy365I=",0)</f>
        <v>0</v>
      </c>
      <c r="ER10" t="e">
        <f>AND('score card (2)'!A99,"AAAAAHy365M=")</f>
        <v>#VALUE!</v>
      </c>
      <c r="ES10" t="e">
        <f>AND('score card (2)'!B99,"AAAAAHy365Q=")</f>
        <v>#VALUE!</v>
      </c>
      <c r="ET10" t="e">
        <f>AND('score card (2)'!C99,"AAAAAHy365U=")</f>
        <v>#VALUE!</v>
      </c>
      <c r="EU10" t="e">
        <f>AND('score card (2)'!D99,"AAAAAHy365Y=")</f>
        <v>#VALUE!</v>
      </c>
      <c r="EV10" t="e">
        <f>AND('score card (2)'!E99,"AAAAAHy365c=")</f>
        <v>#VALUE!</v>
      </c>
      <c r="EW10" t="e">
        <f>AND('score card (2)'!F99,"AAAAAHy365g=")</f>
        <v>#VALUE!</v>
      </c>
      <c r="EX10" t="e">
        <f>AND('score card (2)'!G99,"AAAAAHy365k=")</f>
        <v>#VALUE!</v>
      </c>
      <c r="EY10" t="e">
        <f>AND('score card (2)'!H99,"AAAAAHy365o=")</f>
        <v>#VALUE!</v>
      </c>
      <c r="EZ10" t="e">
        <f>AND('score card (2)'!I99,"AAAAAHy365s=")</f>
        <v>#VALUE!</v>
      </c>
      <c r="FA10" t="e">
        <f>AND('score card (2)'!J99,"AAAAAHy365w=")</f>
        <v>#VALUE!</v>
      </c>
      <c r="FB10" t="e">
        <f>AND('score card (2)'!K99,"AAAAAHy3650=")</f>
        <v>#VALUE!</v>
      </c>
      <c r="FC10" t="e">
        <f>AND('score card (2)'!L99,"AAAAAHy3654=")</f>
        <v>#VALUE!</v>
      </c>
      <c r="FD10" t="e">
        <f>AND('score card (2)'!M99,"AAAAAHy3658=")</f>
        <v>#VALUE!</v>
      </c>
      <c r="FE10" t="e">
        <f>AND('score card (2)'!N99,"AAAAAHy366A=")</f>
        <v>#VALUE!</v>
      </c>
      <c r="FF10" t="e">
        <f>AND('score card (2)'!O99,"AAAAAHy366E=")</f>
        <v>#VALUE!</v>
      </c>
      <c r="FG10" t="e">
        <f>AND('score card (2)'!P99,"AAAAAHy366I=")</f>
        <v>#VALUE!</v>
      </c>
      <c r="FH10" t="e">
        <f>AND('score card (2)'!Q99,"AAAAAHy366M=")</f>
        <v>#VALUE!</v>
      </c>
      <c r="FI10" t="e">
        <f>AND('score card (2)'!R99,"AAAAAHy366Q=")</f>
        <v>#VALUE!</v>
      </c>
      <c r="FJ10" t="e">
        <f>AND('score card (2)'!S99,"AAAAAHy366U=")</f>
        <v>#VALUE!</v>
      </c>
      <c r="FK10" t="e">
        <f>AND('score card (2)'!T99,"AAAAAHy366Y=")</f>
        <v>#VALUE!</v>
      </c>
      <c r="FL10" t="e">
        <f>AND('score card (2)'!U99,"AAAAAHy366c=")</f>
        <v>#VALUE!</v>
      </c>
      <c r="FM10" t="e">
        <f>AND('score card (2)'!V99,"AAAAAHy366g=")</f>
        <v>#VALUE!</v>
      </c>
      <c r="FN10" t="e">
        <f>AND('score card (2)'!W99,"AAAAAHy366k=")</f>
        <v>#VALUE!</v>
      </c>
      <c r="FO10" t="e">
        <f>AND('score card (2)'!X99,"AAAAAHy366o=")</f>
        <v>#VALUE!</v>
      </c>
      <c r="FP10">
        <f>IF('score card (2)'!100:100,"AAAAAHy366s=",0)</f>
        <v>0</v>
      </c>
      <c r="FQ10" t="e">
        <f>AND('score card (2)'!A100,"AAAAAHy366w=")</f>
        <v>#VALUE!</v>
      </c>
      <c r="FR10" t="e">
        <f>AND('score card (2)'!B100,"AAAAAHy3660=")</f>
        <v>#VALUE!</v>
      </c>
      <c r="FS10" t="e">
        <f>AND('score card (2)'!C100,"AAAAAHy3664=")</f>
        <v>#VALUE!</v>
      </c>
      <c r="FT10" t="e">
        <f>AND('score card (2)'!D100,"AAAAAHy3668=")</f>
        <v>#VALUE!</v>
      </c>
      <c r="FU10" t="e">
        <f>AND('score card (2)'!E100,"AAAAAHy367A=")</f>
        <v>#VALUE!</v>
      </c>
      <c r="FV10" t="e">
        <f>AND('score card (2)'!F100,"AAAAAHy367E=")</f>
        <v>#VALUE!</v>
      </c>
      <c r="FW10" t="e">
        <f>AND('score card (2)'!G100,"AAAAAHy367I=")</f>
        <v>#VALUE!</v>
      </c>
      <c r="FX10" t="e">
        <f>AND('score card (2)'!H100,"AAAAAHy367M=")</f>
        <v>#VALUE!</v>
      </c>
      <c r="FY10" t="e">
        <f>AND('score card (2)'!I100,"AAAAAHy367Q=")</f>
        <v>#VALUE!</v>
      </c>
      <c r="FZ10" t="e">
        <f>AND('score card (2)'!J100,"AAAAAHy367U=")</f>
        <v>#VALUE!</v>
      </c>
      <c r="GA10" t="e">
        <f>AND('score card (2)'!K100,"AAAAAHy367Y=")</f>
        <v>#VALUE!</v>
      </c>
      <c r="GB10" t="e">
        <f>AND('score card (2)'!L100,"AAAAAHy367c=")</f>
        <v>#VALUE!</v>
      </c>
      <c r="GC10" t="e">
        <f>AND('score card (2)'!M100,"AAAAAHy367g=")</f>
        <v>#VALUE!</v>
      </c>
      <c r="GD10" t="e">
        <f>AND('score card (2)'!N100,"AAAAAHy367k=")</f>
        <v>#VALUE!</v>
      </c>
      <c r="GE10" t="e">
        <f>AND('score card (2)'!O100,"AAAAAHy367o=")</f>
        <v>#VALUE!</v>
      </c>
      <c r="GF10" t="e">
        <f>AND('score card (2)'!P100,"AAAAAHy367s=")</f>
        <v>#VALUE!</v>
      </c>
      <c r="GG10" t="e">
        <f>AND('score card (2)'!Q100,"AAAAAHy367w=")</f>
        <v>#VALUE!</v>
      </c>
      <c r="GH10" t="e">
        <f>AND('score card (2)'!R100,"AAAAAHy3670=")</f>
        <v>#VALUE!</v>
      </c>
      <c r="GI10" t="e">
        <f>AND('score card (2)'!S100,"AAAAAHy3674=")</f>
        <v>#VALUE!</v>
      </c>
      <c r="GJ10" t="e">
        <f>AND('score card (2)'!T100,"AAAAAHy3678=")</f>
        <v>#VALUE!</v>
      </c>
      <c r="GK10" t="e">
        <f>AND('score card (2)'!U100,"AAAAAHy368A=")</f>
        <v>#VALUE!</v>
      </c>
      <c r="GL10" t="e">
        <f>AND('score card (2)'!V100,"AAAAAHy368E=")</f>
        <v>#VALUE!</v>
      </c>
      <c r="GM10" t="e">
        <f>AND('score card (2)'!W100,"AAAAAHy368I=")</f>
        <v>#VALUE!</v>
      </c>
      <c r="GN10" t="e">
        <f>AND('score card (2)'!X100,"AAAAAHy368M=")</f>
        <v>#VALUE!</v>
      </c>
      <c r="GO10">
        <f>IF('score card (2)'!101:101,"AAAAAHy368Q=",0)</f>
        <v>0</v>
      </c>
      <c r="GP10" t="e">
        <f>AND('score card (2)'!A101,"AAAAAHy368U=")</f>
        <v>#VALUE!</v>
      </c>
      <c r="GQ10" t="e">
        <f>AND('score card (2)'!B101,"AAAAAHy368Y=")</f>
        <v>#VALUE!</v>
      </c>
      <c r="GR10" t="e">
        <f>AND('score card (2)'!C101,"AAAAAHy368c=")</f>
        <v>#VALUE!</v>
      </c>
      <c r="GS10" t="e">
        <f>AND('score card (2)'!D101,"AAAAAHy368g=")</f>
        <v>#VALUE!</v>
      </c>
      <c r="GT10" t="e">
        <f>AND('score card (2)'!E101,"AAAAAHy368k=")</f>
        <v>#VALUE!</v>
      </c>
      <c r="GU10" t="e">
        <f>AND('score card (2)'!F101,"AAAAAHy368o=")</f>
        <v>#VALUE!</v>
      </c>
      <c r="GV10" t="e">
        <f>AND('score card (2)'!G101,"AAAAAHy368s=")</f>
        <v>#VALUE!</v>
      </c>
      <c r="GW10" t="e">
        <f>AND('score card (2)'!H101,"AAAAAHy368w=")</f>
        <v>#VALUE!</v>
      </c>
      <c r="GX10" t="e">
        <f>AND('score card (2)'!I101,"AAAAAHy3680=")</f>
        <v>#VALUE!</v>
      </c>
      <c r="GY10" t="e">
        <f>AND('score card (2)'!J101,"AAAAAHy3684=")</f>
        <v>#VALUE!</v>
      </c>
      <c r="GZ10" t="e">
        <f>AND('score card (2)'!K101,"AAAAAHy3688=")</f>
        <v>#VALUE!</v>
      </c>
      <c r="HA10" t="e">
        <f>AND('score card (2)'!L101,"AAAAAHy369A=")</f>
        <v>#VALUE!</v>
      </c>
      <c r="HB10" t="e">
        <f>AND('score card (2)'!M101,"AAAAAHy369E=")</f>
        <v>#VALUE!</v>
      </c>
      <c r="HC10" t="e">
        <f>AND('score card (2)'!N101,"AAAAAHy369I=")</f>
        <v>#VALUE!</v>
      </c>
      <c r="HD10" t="e">
        <f>AND('score card (2)'!O101,"AAAAAHy369M=")</f>
        <v>#VALUE!</v>
      </c>
      <c r="HE10" t="e">
        <f>AND('score card (2)'!P101,"AAAAAHy369Q=")</f>
        <v>#VALUE!</v>
      </c>
      <c r="HF10" t="e">
        <f>AND('score card (2)'!Q101,"AAAAAHy369U=")</f>
        <v>#VALUE!</v>
      </c>
      <c r="HG10" t="e">
        <f>AND('score card (2)'!R101,"AAAAAHy369Y=")</f>
        <v>#VALUE!</v>
      </c>
      <c r="HH10" t="e">
        <f>AND('score card (2)'!S101,"AAAAAHy369c=")</f>
        <v>#VALUE!</v>
      </c>
      <c r="HI10" t="e">
        <f>AND('score card (2)'!T101,"AAAAAHy369g=")</f>
        <v>#VALUE!</v>
      </c>
      <c r="HJ10" t="e">
        <f>AND('score card (2)'!U101,"AAAAAHy369k=")</f>
        <v>#VALUE!</v>
      </c>
      <c r="HK10" t="e">
        <f>AND('score card (2)'!V101,"AAAAAHy369o=")</f>
        <v>#VALUE!</v>
      </c>
      <c r="HL10" t="e">
        <f>AND('score card (2)'!W101,"AAAAAHy369s=")</f>
        <v>#VALUE!</v>
      </c>
      <c r="HM10" t="e">
        <f>AND('score card (2)'!X101,"AAAAAHy369w=")</f>
        <v>#VALUE!</v>
      </c>
      <c r="HN10">
        <f>IF('score card (2)'!102:102,"AAAAAHy3690=",0)</f>
        <v>0</v>
      </c>
      <c r="HO10" t="e">
        <f>AND('score card (2)'!A102,"AAAAAHy3694=")</f>
        <v>#VALUE!</v>
      </c>
      <c r="HP10" t="e">
        <f>AND('score card (2)'!B102,"AAAAAHy3698=")</f>
        <v>#VALUE!</v>
      </c>
      <c r="HQ10" t="e">
        <f>AND('score card (2)'!C102,"AAAAAHy36+A=")</f>
        <v>#VALUE!</v>
      </c>
      <c r="HR10" t="e">
        <f>AND('score card (2)'!D102,"AAAAAHy36+E=")</f>
        <v>#VALUE!</v>
      </c>
      <c r="HS10" t="e">
        <f>AND('score card (2)'!E102,"AAAAAHy36+I=")</f>
        <v>#VALUE!</v>
      </c>
      <c r="HT10" t="e">
        <f>AND('score card (2)'!F102,"AAAAAHy36+M=")</f>
        <v>#VALUE!</v>
      </c>
      <c r="HU10" t="e">
        <f>AND('score card (2)'!G102,"AAAAAHy36+Q=")</f>
        <v>#VALUE!</v>
      </c>
      <c r="HV10" t="e">
        <f>AND('score card (2)'!H102,"AAAAAHy36+U=")</f>
        <v>#VALUE!</v>
      </c>
      <c r="HW10" t="e">
        <f>AND('score card (2)'!I102,"AAAAAHy36+Y=")</f>
        <v>#VALUE!</v>
      </c>
      <c r="HX10" t="e">
        <f>AND('score card (2)'!J102,"AAAAAHy36+c=")</f>
        <v>#VALUE!</v>
      </c>
      <c r="HY10" t="e">
        <f>AND('score card (2)'!K102,"AAAAAHy36+g=")</f>
        <v>#VALUE!</v>
      </c>
      <c r="HZ10" t="e">
        <f>AND('score card (2)'!L102,"AAAAAHy36+k=")</f>
        <v>#VALUE!</v>
      </c>
      <c r="IA10" t="e">
        <f>AND('score card (2)'!M102,"AAAAAHy36+o=")</f>
        <v>#VALUE!</v>
      </c>
      <c r="IB10" t="e">
        <f>AND('score card (2)'!N102,"AAAAAHy36+s=")</f>
        <v>#VALUE!</v>
      </c>
      <c r="IC10" t="e">
        <f>AND('score card (2)'!O102,"AAAAAHy36+w=")</f>
        <v>#VALUE!</v>
      </c>
      <c r="ID10" t="e">
        <f>AND('score card (2)'!P102,"AAAAAHy36+0=")</f>
        <v>#VALUE!</v>
      </c>
      <c r="IE10" t="e">
        <f>AND('score card (2)'!Q102,"AAAAAHy36+4=")</f>
        <v>#VALUE!</v>
      </c>
      <c r="IF10" t="e">
        <f>AND('score card (2)'!R102,"AAAAAHy36+8=")</f>
        <v>#VALUE!</v>
      </c>
      <c r="IG10" t="e">
        <f>AND('score card (2)'!S102,"AAAAAHy36/A=")</f>
        <v>#VALUE!</v>
      </c>
      <c r="IH10" t="e">
        <f>AND('score card (2)'!T102,"AAAAAHy36/E=")</f>
        <v>#VALUE!</v>
      </c>
      <c r="II10" t="e">
        <f>AND('score card (2)'!U102,"AAAAAHy36/I=")</f>
        <v>#VALUE!</v>
      </c>
      <c r="IJ10" t="e">
        <f>AND('score card (2)'!V102,"AAAAAHy36/M=")</f>
        <v>#VALUE!</v>
      </c>
      <c r="IK10" t="e">
        <f>AND('score card (2)'!W102,"AAAAAHy36/Q=")</f>
        <v>#VALUE!</v>
      </c>
      <c r="IL10" t="e">
        <f>AND('score card (2)'!X102,"AAAAAHy36/U=")</f>
        <v>#VALUE!</v>
      </c>
      <c r="IM10">
        <f>IF('score card (2)'!103:103,"AAAAAHy36/Y=",0)</f>
        <v>0</v>
      </c>
      <c r="IN10" t="e">
        <f>AND('score card (2)'!A103,"AAAAAHy36/c=")</f>
        <v>#VALUE!</v>
      </c>
      <c r="IO10" t="e">
        <f>AND('score card (2)'!B103,"AAAAAHy36/g=")</f>
        <v>#VALUE!</v>
      </c>
      <c r="IP10" t="e">
        <f>AND('score card (2)'!C103,"AAAAAHy36/k=")</f>
        <v>#VALUE!</v>
      </c>
      <c r="IQ10" t="e">
        <f>AND('score card (2)'!D103,"AAAAAHy36/o=")</f>
        <v>#VALUE!</v>
      </c>
      <c r="IR10" t="e">
        <f>AND('score card (2)'!E103,"AAAAAHy36/s=")</f>
        <v>#VALUE!</v>
      </c>
      <c r="IS10" t="e">
        <f>AND('score card (2)'!F103,"AAAAAHy36/w=")</f>
        <v>#VALUE!</v>
      </c>
      <c r="IT10" t="e">
        <f>AND('score card (2)'!G103,"AAAAAHy36/0=")</f>
        <v>#VALUE!</v>
      </c>
      <c r="IU10" t="e">
        <f>AND('score card (2)'!H103,"AAAAAHy36/4=")</f>
        <v>#VALUE!</v>
      </c>
      <c r="IV10" t="e">
        <f>AND('score card (2)'!I103,"AAAAAHy36/8=")</f>
        <v>#VALUE!</v>
      </c>
    </row>
    <row r="11" spans="1:116" ht="12.75">
      <c r="A11" t="e">
        <f>AND('score card (2)'!J103,"AAAAAH+5vQA=")</f>
        <v>#VALUE!</v>
      </c>
      <c r="B11" t="e">
        <f>AND('score card (2)'!K103,"AAAAAH+5vQE=")</f>
        <v>#VALUE!</v>
      </c>
      <c r="C11" t="e">
        <f>AND('score card (2)'!L103,"AAAAAH+5vQI=")</f>
        <v>#VALUE!</v>
      </c>
      <c r="D11" t="e">
        <f>AND('score card (2)'!M103,"AAAAAH+5vQM=")</f>
        <v>#VALUE!</v>
      </c>
      <c r="E11" t="e">
        <f>AND('score card (2)'!N103,"AAAAAH+5vQQ=")</f>
        <v>#VALUE!</v>
      </c>
      <c r="F11" t="e">
        <f>AND('score card (2)'!O103,"AAAAAH+5vQU=")</f>
        <v>#VALUE!</v>
      </c>
      <c r="G11" t="e">
        <f>AND('score card (2)'!P103,"AAAAAH+5vQY=")</f>
        <v>#VALUE!</v>
      </c>
      <c r="H11" t="e">
        <f>AND('score card (2)'!Q103,"AAAAAH+5vQc=")</f>
        <v>#VALUE!</v>
      </c>
      <c r="I11" t="e">
        <f>AND('score card (2)'!R103,"AAAAAH+5vQg=")</f>
        <v>#VALUE!</v>
      </c>
      <c r="J11" t="e">
        <f>AND('score card (2)'!S103,"AAAAAH+5vQk=")</f>
        <v>#VALUE!</v>
      </c>
      <c r="K11" t="e">
        <f>AND('score card (2)'!T103,"AAAAAH+5vQo=")</f>
        <v>#VALUE!</v>
      </c>
      <c r="L11" t="e">
        <f>AND('score card (2)'!U103,"AAAAAH+5vQs=")</f>
        <v>#VALUE!</v>
      </c>
      <c r="M11" t="e">
        <f>AND('score card (2)'!V103,"AAAAAH+5vQw=")</f>
        <v>#VALUE!</v>
      </c>
      <c r="N11" t="e">
        <f>AND('score card (2)'!W103,"AAAAAH+5vQ0=")</f>
        <v>#VALUE!</v>
      </c>
      <c r="O11" t="e">
        <f>AND('score card (2)'!X103,"AAAAAH+5vQ4=")</f>
        <v>#VALUE!</v>
      </c>
      <c r="P11">
        <f>IF('score card (2)'!104:104,"AAAAAH+5vQ8=",0)</f>
        <v>0</v>
      </c>
      <c r="Q11" t="e">
        <f>AND('score card (2)'!A104,"AAAAAH+5vRA=")</f>
        <v>#VALUE!</v>
      </c>
      <c r="R11" t="e">
        <f>AND('score card (2)'!B104,"AAAAAH+5vRE=")</f>
        <v>#VALUE!</v>
      </c>
      <c r="S11" t="e">
        <f>AND('score card (2)'!C104,"AAAAAH+5vRI=")</f>
        <v>#VALUE!</v>
      </c>
      <c r="T11" t="e">
        <f>AND('score card (2)'!D104,"AAAAAH+5vRM=")</f>
        <v>#VALUE!</v>
      </c>
      <c r="U11" t="e">
        <f>AND('score card (2)'!E104,"AAAAAH+5vRQ=")</f>
        <v>#VALUE!</v>
      </c>
      <c r="V11" t="e">
        <f>AND('score card (2)'!F104,"AAAAAH+5vRU=")</f>
        <v>#VALUE!</v>
      </c>
      <c r="W11" t="e">
        <f>AND('score card (2)'!G104,"AAAAAH+5vRY=")</f>
        <v>#VALUE!</v>
      </c>
      <c r="X11" t="e">
        <f>AND('score card (2)'!H104,"AAAAAH+5vRc=")</f>
        <v>#VALUE!</v>
      </c>
      <c r="Y11" t="e">
        <f>AND('score card (2)'!I104,"AAAAAH+5vRg=")</f>
        <v>#VALUE!</v>
      </c>
      <c r="Z11" t="e">
        <f>AND('score card (2)'!J104,"AAAAAH+5vRk=")</f>
        <v>#VALUE!</v>
      </c>
      <c r="AA11" t="e">
        <f>AND('score card (2)'!K104,"AAAAAH+5vRo=")</f>
        <v>#VALUE!</v>
      </c>
      <c r="AB11" t="e">
        <f>AND('score card (2)'!L104,"AAAAAH+5vRs=")</f>
        <v>#VALUE!</v>
      </c>
      <c r="AC11" t="e">
        <f>AND('score card (2)'!M104,"AAAAAH+5vRw=")</f>
        <v>#VALUE!</v>
      </c>
      <c r="AD11" t="e">
        <f>AND('score card (2)'!N104,"AAAAAH+5vR0=")</f>
        <v>#VALUE!</v>
      </c>
      <c r="AE11" t="e">
        <f>AND('score card (2)'!O104,"AAAAAH+5vR4=")</f>
        <v>#VALUE!</v>
      </c>
      <c r="AF11" t="e">
        <f>AND('score card (2)'!P104,"AAAAAH+5vR8=")</f>
        <v>#VALUE!</v>
      </c>
      <c r="AG11" t="e">
        <f>AND('score card (2)'!Q104,"AAAAAH+5vSA=")</f>
        <v>#VALUE!</v>
      </c>
      <c r="AH11" t="e">
        <f>AND('score card (2)'!R104,"AAAAAH+5vSE=")</f>
        <v>#VALUE!</v>
      </c>
      <c r="AI11" t="e">
        <f>AND('score card (2)'!S104,"AAAAAH+5vSI=")</f>
        <v>#VALUE!</v>
      </c>
      <c r="AJ11" t="e">
        <f>AND('score card (2)'!T104,"AAAAAH+5vSM=")</f>
        <v>#VALUE!</v>
      </c>
      <c r="AK11" t="e">
        <f>AND('score card (2)'!U104,"AAAAAH+5vSQ=")</f>
        <v>#VALUE!</v>
      </c>
      <c r="AL11" t="e">
        <f>AND('score card (2)'!V104,"AAAAAH+5vSU=")</f>
        <v>#VALUE!</v>
      </c>
      <c r="AM11" t="e">
        <f>AND('score card (2)'!W104,"AAAAAH+5vSY=")</f>
        <v>#VALUE!</v>
      </c>
      <c r="AN11" t="e">
        <f>AND('score card (2)'!X104,"AAAAAH+5vSc=")</f>
        <v>#VALUE!</v>
      </c>
      <c r="AO11">
        <f>IF('score card (2)'!105:105,"AAAAAH+5vSg=",0)</f>
        <v>0</v>
      </c>
      <c r="AP11" t="e">
        <f>AND('score card (2)'!A105,"AAAAAH+5vSk=")</f>
        <v>#VALUE!</v>
      </c>
      <c r="AQ11" t="e">
        <f>AND('score card (2)'!B105,"AAAAAH+5vSo=")</f>
        <v>#VALUE!</v>
      </c>
      <c r="AR11" t="e">
        <f>AND('score card (2)'!C105,"AAAAAH+5vSs=")</f>
        <v>#VALUE!</v>
      </c>
      <c r="AS11" t="e">
        <f>AND('score card (2)'!D105,"AAAAAH+5vSw=")</f>
        <v>#VALUE!</v>
      </c>
      <c r="AT11" t="e">
        <f>AND('score card (2)'!E105,"AAAAAH+5vS0=")</f>
        <v>#VALUE!</v>
      </c>
      <c r="AU11" t="e">
        <f>AND('score card (2)'!F105,"AAAAAH+5vS4=")</f>
        <v>#VALUE!</v>
      </c>
      <c r="AV11" t="e">
        <f>AND('score card (2)'!G105,"AAAAAH+5vS8=")</f>
        <v>#VALUE!</v>
      </c>
      <c r="AW11" t="e">
        <f>AND('score card (2)'!H105,"AAAAAH+5vTA=")</f>
        <v>#VALUE!</v>
      </c>
      <c r="AX11" t="e">
        <f>AND('score card (2)'!I105,"AAAAAH+5vTE=")</f>
        <v>#VALUE!</v>
      </c>
      <c r="AY11" t="e">
        <f>AND('score card (2)'!J105,"AAAAAH+5vTI=")</f>
        <v>#VALUE!</v>
      </c>
      <c r="AZ11" t="e">
        <f>AND('score card (2)'!K105,"AAAAAH+5vTM=")</f>
        <v>#VALUE!</v>
      </c>
      <c r="BA11" t="e">
        <f>AND('score card (2)'!L105,"AAAAAH+5vTQ=")</f>
        <v>#VALUE!</v>
      </c>
      <c r="BB11" t="e">
        <f>AND('score card (2)'!M105,"AAAAAH+5vTU=")</f>
        <v>#VALUE!</v>
      </c>
      <c r="BC11" t="e">
        <f>AND('score card (2)'!N105,"AAAAAH+5vTY=")</f>
        <v>#VALUE!</v>
      </c>
      <c r="BD11" t="e">
        <f>AND('score card (2)'!O105,"AAAAAH+5vTc=")</f>
        <v>#VALUE!</v>
      </c>
      <c r="BE11" t="e">
        <f>AND('score card (2)'!P105,"AAAAAH+5vTg=")</f>
        <v>#VALUE!</v>
      </c>
      <c r="BF11" t="e">
        <f>AND('score card (2)'!Q105,"AAAAAH+5vTk=")</f>
        <v>#VALUE!</v>
      </c>
      <c r="BG11" t="e">
        <f>AND('score card (2)'!R105,"AAAAAH+5vTo=")</f>
        <v>#VALUE!</v>
      </c>
      <c r="BH11" t="e">
        <f>AND('score card (2)'!S105,"AAAAAH+5vTs=")</f>
        <v>#VALUE!</v>
      </c>
      <c r="BI11" t="e">
        <f>AND('score card (2)'!T105,"AAAAAH+5vTw=")</f>
        <v>#VALUE!</v>
      </c>
      <c r="BJ11" t="e">
        <f>AND('score card (2)'!U105,"AAAAAH+5vT0=")</f>
        <v>#VALUE!</v>
      </c>
      <c r="BK11" t="e">
        <f>AND('score card (2)'!V105,"AAAAAH+5vT4=")</f>
        <v>#VALUE!</v>
      </c>
      <c r="BL11" t="e">
        <f>AND('score card (2)'!W105,"AAAAAH+5vT8=")</f>
        <v>#VALUE!</v>
      </c>
      <c r="BM11" t="e">
        <f>AND('score card (2)'!X105,"AAAAAH+5vUA=")</f>
        <v>#VALUE!</v>
      </c>
      <c r="BN11">
        <f>IF('score card (2)'!106:106,"AAAAAH+5vUE=",0)</f>
        <v>0</v>
      </c>
      <c r="BO11" t="e">
        <f>AND('score card (2)'!A106,"AAAAAH+5vUI=")</f>
        <v>#VALUE!</v>
      </c>
      <c r="BP11" t="e">
        <f>AND('score card (2)'!B106,"AAAAAH+5vUM=")</f>
        <v>#VALUE!</v>
      </c>
      <c r="BQ11" t="e">
        <f>AND('score card (2)'!C106,"AAAAAH+5vUQ=")</f>
        <v>#VALUE!</v>
      </c>
      <c r="BR11" t="e">
        <f>AND('score card (2)'!D106,"AAAAAH+5vUU=")</f>
        <v>#VALUE!</v>
      </c>
      <c r="BS11" t="e">
        <f>AND('score card (2)'!E106,"AAAAAH+5vUY=")</f>
        <v>#VALUE!</v>
      </c>
      <c r="BT11" t="e">
        <f>AND('score card (2)'!F106,"AAAAAH+5vUc=")</f>
        <v>#VALUE!</v>
      </c>
      <c r="BU11" t="e">
        <f>AND('score card (2)'!G106,"AAAAAH+5vUg=")</f>
        <v>#VALUE!</v>
      </c>
      <c r="BV11" t="e">
        <f>AND('score card (2)'!H106,"AAAAAH+5vUk=")</f>
        <v>#VALUE!</v>
      </c>
      <c r="BW11" t="e">
        <f>AND('score card (2)'!I106,"AAAAAH+5vUo=")</f>
        <v>#VALUE!</v>
      </c>
      <c r="BX11" t="e">
        <f>AND('score card (2)'!J106,"AAAAAH+5vUs=")</f>
        <v>#VALUE!</v>
      </c>
      <c r="BY11" t="e">
        <f>AND('score card (2)'!K106,"AAAAAH+5vUw=")</f>
        <v>#VALUE!</v>
      </c>
      <c r="BZ11" t="e">
        <f>AND('score card (2)'!L106,"AAAAAH+5vU0=")</f>
        <v>#VALUE!</v>
      </c>
      <c r="CA11" t="e">
        <f>AND('score card (2)'!M106,"AAAAAH+5vU4=")</f>
        <v>#VALUE!</v>
      </c>
      <c r="CB11" t="e">
        <f>AND('score card (2)'!N106,"AAAAAH+5vU8=")</f>
        <v>#VALUE!</v>
      </c>
      <c r="CC11" t="e">
        <f>AND('score card (2)'!O106,"AAAAAH+5vVA=")</f>
        <v>#VALUE!</v>
      </c>
      <c r="CD11" t="e">
        <f>AND('score card (2)'!P106,"AAAAAH+5vVE=")</f>
        <v>#VALUE!</v>
      </c>
      <c r="CE11" t="e">
        <f>AND('score card (2)'!Q106,"AAAAAH+5vVI=")</f>
        <v>#VALUE!</v>
      </c>
      <c r="CF11" t="e">
        <f>AND('score card (2)'!R106,"AAAAAH+5vVM=")</f>
        <v>#VALUE!</v>
      </c>
      <c r="CG11" t="e">
        <f>AND('score card (2)'!S106,"AAAAAH+5vVQ=")</f>
        <v>#VALUE!</v>
      </c>
      <c r="CH11" t="e">
        <f>AND('score card (2)'!T106,"AAAAAH+5vVU=")</f>
        <v>#VALUE!</v>
      </c>
      <c r="CI11" t="e">
        <f>AND('score card (2)'!U106,"AAAAAH+5vVY=")</f>
        <v>#VALUE!</v>
      </c>
      <c r="CJ11" t="e">
        <f>AND('score card (2)'!V106,"AAAAAH+5vVc=")</f>
        <v>#VALUE!</v>
      </c>
      <c r="CK11" t="e">
        <f>AND('score card (2)'!W106,"AAAAAH+5vVg=")</f>
        <v>#VALUE!</v>
      </c>
      <c r="CL11" t="e">
        <f>AND('score card (2)'!X106,"AAAAAH+5vVk=")</f>
        <v>#VALUE!</v>
      </c>
      <c r="CM11">
        <f>IF('score card (2)'!A:A,"AAAAAH+5vVo=",0)</f>
        <v>0</v>
      </c>
      <c r="CN11">
        <f>IF('score card (2)'!B:B,"AAAAAH+5vVs=",0)</f>
        <v>0</v>
      </c>
      <c r="CO11">
        <f>IF('score card (2)'!C:C,"AAAAAH+5vVw=",0)</f>
        <v>0</v>
      </c>
      <c r="CP11">
        <f>IF('score card (2)'!D:D,"AAAAAH+5vV0=",0)</f>
        <v>0</v>
      </c>
      <c r="CQ11">
        <f>IF('score card (2)'!E:E,"AAAAAH+5vV4=",0)</f>
        <v>0</v>
      </c>
      <c r="CR11">
        <f>IF('score card (2)'!F:F,"AAAAAH+5vV8=",0)</f>
        <v>0</v>
      </c>
      <c r="CS11">
        <f>IF('score card (2)'!G:G,"AAAAAH+5vWA=",0)</f>
        <v>0</v>
      </c>
      <c r="CT11">
        <f>IF('score card (2)'!H:H,"AAAAAH+5vWE=",0)</f>
        <v>0</v>
      </c>
      <c r="CU11">
        <f>IF('score card (2)'!I:I,"AAAAAH+5vWI=",0)</f>
        <v>0</v>
      </c>
      <c r="CV11">
        <f>IF('score card (2)'!J:J,"AAAAAH+5vWM=",0)</f>
        <v>0</v>
      </c>
      <c r="CW11">
        <f>IF('score card (2)'!K:K,"AAAAAH+5vWQ=",0)</f>
        <v>0</v>
      </c>
      <c r="CX11">
        <f>IF('score card (2)'!L:L,"AAAAAH+5vWU=",0)</f>
        <v>0</v>
      </c>
      <c r="CY11">
        <f>IF('score card (2)'!M:M,"AAAAAH+5vWY=",0)</f>
        <v>0</v>
      </c>
      <c r="CZ11">
        <f>IF('score card (2)'!N:N,"AAAAAH+5vWc=",0)</f>
        <v>0</v>
      </c>
      <c r="DA11">
        <f>IF('score card (2)'!O:O,"AAAAAH+5vWg=",0)</f>
        <v>0</v>
      </c>
      <c r="DB11">
        <f>IF('score card (2)'!P:P,"AAAAAH+5vWk=",0)</f>
        <v>0</v>
      </c>
      <c r="DC11">
        <f>IF('score card (2)'!Q:Q,"AAAAAH+5vWo=",0)</f>
        <v>0</v>
      </c>
      <c r="DD11">
        <f>IF('score card (2)'!R:R,"AAAAAH+5vWs=",0)</f>
        <v>0</v>
      </c>
      <c r="DE11">
        <f>IF('score card (2)'!S:S,"AAAAAH+5vWw=",0)</f>
        <v>0</v>
      </c>
      <c r="DF11">
        <f>IF('score card (2)'!T:T,"AAAAAH+5vW0=",0)</f>
        <v>0</v>
      </c>
      <c r="DG11">
        <f>IF('score card (2)'!U:U,"AAAAAH+5vW4=",0)</f>
        <v>0</v>
      </c>
      <c r="DH11">
        <f>IF('score card (2)'!V:V,"AAAAAH+5vW8=",0)</f>
        <v>0</v>
      </c>
      <c r="DI11">
        <f>IF('score card (2)'!W:W,"AAAAAH+5vXA=",0)</f>
        <v>0</v>
      </c>
      <c r="DJ11">
        <f>IF('score card (2)'!X:X,"AAAAAH+5vXE=",0)</f>
        <v>0</v>
      </c>
      <c r="DK11" t="s">
        <v>24</v>
      </c>
      <c r="DL11" t="e">
        <f>IF("N",'score card (2)'!PRINT_AREA,"AAAAAH+5vXM=")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Novant Health,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Novant Health User</dc:creator>
  <cp:keywords/>
  <dc:description/>
  <cp:lastModifiedBy>Windows User</cp:lastModifiedBy>
  <cp:lastPrinted>2011-06-14T20:15:40Z</cp:lastPrinted>
  <dcterms:created xsi:type="dcterms:W3CDTF">2007-03-30T17:55:23Z</dcterms:created>
  <dcterms:modified xsi:type="dcterms:W3CDTF">2012-04-25T15:23:14Z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1-TPGy8PG_AmBlQGhtHIAj5-9Sy6TBlFAD997fhfH5YA</vt:lpwstr>
  </property>
  <property fmtid="{D5CDD505-2E9C-101B-9397-08002B2CF9AE}" pid="4" name="Google.Documents.RevisionId">
    <vt:lpwstr>16489372970842558273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